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'Sheet1'!$A$10:$Q$53,'Sheet1'!$S$1:$Y$32,'Sheet1'!$AA$1:$AR$128</definedName>
  </definedNames>
  <calcPr fullCalcOnLoad="1"/>
</workbook>
</file>

<file path=xl/sharedStrings.xml><?xml version="1.0" encoding="utf-8"?>
<sst xmlns="http://schemas.openxmlformats.org/spreadsheetml/2006/main" count="265" uniqueCount="144">
  <si>
    <t>(in thousands of dollars)</t>
  </si>
  <si>
    <t>Net Sales</t>
  </si>
  <si>
    <t>Gross Profit</t>
  </si>
  <si>
    <t>Expenses:</t>
  </si>
  <si>
    <t xml:space="preserve">   Selling &amp; Admin</t>
  </si>
  <si>
    <t xml:space="preserve">   Interest</t>
  </si>
  <si>
    <t>Total</t>
  </si>
  <si>
    <t>Income Tax Expense</t>
  </si>
  <si>
    <t>Operating Profit after Tax</t>
  </si>
  <si>
    <t>Operating Profit Before Tax</t>
  </si>
  <si>
    <t>Assets:</t>
  </si>
  <si>
    <t>Inventory</t>
  </si>
  <si>
    <t>Total Assets</t>
  </si>
  <si>
    <t>Liabilities:</t>
  </si>
  <si>
    <t>Total Liabilities</t>
  </si>
  <si>
    <t>NET ASSETS</t>
  </si>
  <si>
    <t>Retained Profits</t>
  </si>
  <si>
    <t>Trend Analysis</t>
  </si>
  <si>
    <t>Horizontal Analysis</t>
  </si>
  <si>
    <t>$</t>
  </si>
  <si>
    <t>%</t>
  </si>
  <si>
    <t>Common Size Analysis</t>
  </si>
  <si>
    <t>Cash</t>
  </si>
  <si>
    <t>Debtors</t>
  </si>
  <si>
    <t>Paid Up Capital</t>
  </si>
  <si>
    <t>Year 1 =</t>
  </si>
  <si>
    <t>Year 2 =</t>
  </si>
  <si>
    <t>Year 3 =</t>
  </si>
  <si>
    <t>Company Name =</t>
  </si>
  <si>
    <t xml:space="preserve">for the years ended 30 June </t>
  </si>
  <si>
    <t>and</t>
  </si>
  <si>
    <t>as at 30 June</t>
  </si>
  <si>
    <t>RATIO SUMMARY SHEET</t>
  </si>
  <si>
    <t>PROFITABILITY</t>
  </si>
  <si>
    <t>Return on assets</t>
  </si>
  <si>
    <t>Retun on shareholders equity</t>
  </si>
  <si>
    <t>Earnings per share</t>
  </si>
  <si>
    <t>Dividend</t>
  </si>
  <si>
    <t>Dividend payout</t>
  </si>
  <si>
    <t>Market price =</t>
  </si>
  <si>
    <t>Price to Earnings</t>
  </si>
  <si>
    <t>Earnings Yield</t>
  </si>
  <si>
    <t>Year 3</t>
  </si>
  <si>
    <t>Year 2</t>
  </si>
  <si>
    <t>Year 1</t>
  </si>
  <si>
    <t>Number of shares</t>
  </si>
  <si>
    <t>LIQUIDITY</t>
  </si>
  <si>
    <t>Current ratio</t>
  </si>
  <si>
    <t>Quick ratio</t>
  </si>
  <si>
    <t>Debtors turnover</t>
  </si>
  <si>
    <t>Collection period</t>
  </si>
  <si>
    <t>Inventory turnover</t>
  </si>
  <si>
    <t>Inventory turnover (days)</t>
  </si>
  <si>
    <t>Operating cycle</t>
  </si>
  <si>
    <t>FINANCIAL STABILITY</t>
  </si>
  <si>
    <t>Debt ratio</t>
  </si>
  <si>
    <t>Equity ratio</t>
  </si>
  <si>
    <t>Capitalisation</t>
  </si>
  <si>
    <t>Asset turnover</t>
  </si>
  <si>
    <t>Times interest earned</t>
  </si>
  <si>
    <t>times</t>
  </si>
  <si>
    <t>:1</t>
  </si>
  <si>
    <t>days</t>
  </si>
  <si>
    <t>Ratio Analysis</t>
  </si>
  <si>
    <t>Profitability</t>
  </si>
  <si>
    <t>+</t>
  </si>
  <si>
    <t>=</t>
  </si>
  <si>
    <t>Operating profit before tax + interest expense</t>
  </si>
  <si>
    <t xml:space="preserve">    </t>
  </si>
  <si>
    <t xml:space="preserve"> Average Total Assets</t>
  </si>
  <si>
    <t>shareholders' equity</t>
  </si>
  <si>
    <t>avge. ordinary shareholders' equity</t>
  </si>
  <si>
    <t>Op. profit after tax</t>
  </si>
  <si>
    <t>ordinary shares outstanding</t>
  </si>
  <si>
    <r>
      <t>Price to earnings</t>
    </r>
    <r>
      <rPr>
        <sz val="10"/>
        <rFont val="Arial"/>
        <family val="0"/>
      </rPr>
      <t xml:space="preserve"> =</t>
    </r>
  </si>
  <si>
    <t>Market price per ordinary share</t>
  </si>
  <si>
    <r>
      <t>Earnings Yield</t>
    </r>
    <r>
      <rPr>
        <sz val="10"/>
        <rFont val="Arial"/>
        <family val="0"/>
      </rPr>
      <t xml:space="preserve"> =</t>
    </r>
  </si>
  <si>
    <r>
      <t>Dividends</t>
    </r>
    <r>
      <rPr>
        <sz val="10"/>
        <rFont val="Arial"/>
        <family val="0"/>
      </rPr>
      <t xml:space="preserve"> =</t>
    </r>
  </si>
  <si>
    <t>Opening Ret. Profit + Operating Profit after tax - Closing Ret. Profit</t>
  </si>
  <si>
    <t>Dividends</t>
  </si>
  <si>
    <t>Operating profit after tax</t>
  </si>
  <si>
    <t>Liquidity</t>
  </si>
  <si>
    <r>
      <t>Current ratio</t>
    </r>
    <r>
      <rPr>
        <sz val="10"/>
        <rFont val="Arial"/>
        <family val="0"/>
      </rPr>
      <t xml:space="preserve"> =</t>
    </r>
  </si>
  <si>
    <t>Current assets</t>
  </si>
  <si>
    <t>Current Liabilities</t>
  </si>
  <si>
    <r>
      <t>Quick (acid test) ratio</t>
    </r>
    <r>
      <rPr>
        <sz val="10"/>
        <rFont val="Arial"/>
        <family val="0"/>
      </rPr>
      <t xml:space="preserve"> =</t>
    </r>
  </si>
  <si>
    <t>Cash + debtors</t>
  </si>
  <si>
    <r>
      <t>Debtors turnover</t>
    </r>
    <r>
      <rPr>
        <sz val="10"/>
        <rFont val="Arial"/>
        <family val="0"/>
      </rPr>
      <t xml:space="preserve"> =</t>
    </r>
  </si>
  <si>
    <t>Average debtors balance</t>
  </si>
  <si>
    <t>*</t>
  </si>
  <si>
    <r>
      <t>Collection period</t>
    </r>
    <r>
      <rPr>
        <sz val="10"/>
        <rFont val="Arial"/>
        <family val="0"/>
      </rPr>
      <t xml:space="preserve"> =</t>
    </r>
  </si>
  <si>
    <t>365 days</t>
  </si>
  <si>
    <t>Debtor turnover</t>
  </si>
  <si>
    <r>
      <t>Inventory turnover</t>
    </r>
    <r>
      <rPr>
        <sz val="10"/>
        <rFont val="Arial"/>
        <family val="0"/>
      </rPr>
      <t xml:space="preserve"> =</t>
    </r>
  </si>
  <si>
    <t>Average inventory balance</t>
  </si>
  <si>
    <r>
      <t>Inventory turnover (days)</t>
    </r>
    <r>
      <rPr>
        <sz val="10"/>
        <rFont val="Arial"/>
        <family val="0"/>
      </rPr>
      <t xml:space="preserve"> =</t>
    </r>
  </si>
  <si>
    <r>
      <t>Operating cycle</t>
    </r>
    <r>
      <rPr>
        <sz val="10"/>
        <rFont val="Arial"/>
        <family val="0"/>
      </rPr>
      <t xml:space="preserve"> =</t>
    </r>
  </si>
  <si>
    <t>Receivables turnover + Inventory turnover</t>
  </si>
  <si>
    <t>Financial stability</t>
  </si>
  <si>
    <r>
      <t>Debt ratio</t>
    </r>
    <r>
      <rPr>
        <sz val="10"/>
        <rFont val="Arial"/>
        <family val="0"/>
      </rPr>
      <t xml:space="preserve"> =</t>
    </r>
  </si>
  <si>
    <t>Total liabilities</t>
  </si>
  <si>
    <t>Total assets</t>
  </si>
  <si>
    <r>
      <t>Equity ratio</t>
    </r>
    <r>
      <rPr>
        <sz val="10"/>
        <rFont val="Arial"/>
        <family val="0"/>
      </rPr>
      <t xml:space="preserve"> =</t>
    </r>
  </si>
  <si>
    <t>Total shareholders equity</t>
  </si>
  <si>
    <r>
      <t>Capitalisation ratio</t>
    </r>
    <r>
      <rPr>
        <sz val="10"/>
        <rFont val="Arial"/>
        <family val="0"/>
      </rPr>
      <t xml:space="preserve"> =</t>
    </r>
  </si>
  <si>
    <r>
      <t>Asset turnover</t>
    </r>
    <r>
      <rPr>
        <sz val="10"/>
        <rFont val="Arial"/>
        <family val="0"/>
      </rPr>
      <t xml:space="preserve"> =</t>
    </r>
  </si>
  <si>
    <t>Ave. total assets</t>
  </si>
  <si>
    <r>
      <t>Times interest earned</t>
    </r>
    <r>
      <rPr>
        <sz val="10"/>
        <rFont val="Arial"/>
        <family val="0"/>
      </rPr>
      <t xml:space="preserve"> =</t>
    </r>
  </si>
  <si>
    <t>EBIT</t>
  </si>
  <si>
    <t>Interest expense</t>
  </si>
  <si>
    <t>* No average available for</t>
  </si>
  <si>
    <t xml:space="preserve">so have used the </t>
  </si>
  <si>
    <t>figure. This limits the reliance that can be placed on this ratio.</t>
  </si>
  <si>
    <r>
      <t>Dividend yield</t>
    </r>
    <r>
      <rPr>
        <sz val="10"/>
        <rFont val="Arial"/>
        <family val="0"/>
      </rPr>
      <t xml:space="preserve"> =</t>
    </r>
  </si>
  <si>
    <t>Annual dividend per ordinary share</t>
  </si>
  <si>
    <t>Dividend yield</t>
  </si>
  <si>
    <t>Non-current Liabilities</t>
  </si>
  <si>
    <t>Cost of Sales</t>
  </si>
  <si>
    <t>Equity:</t>
  </si>
  <si>
    <t>Total div's to ord shareholders</t>
  </si>
  <si>
    <t>Cost of sales</t>
  </si>
  <si>
    <t>(rounding)</t>
  </si>
  <si>
    <t>Total Income</t>
  </si>
  <si>
    <t>Comparative Income Statement</t>
  </si>
  <si>
    <t>Comparative Balance Sheet</t>
  </si>
  <si>
    <t>Net credit sales revenue</t>
  </si>
  <si>
    <t>Land &amp; Buildings (net)</t>
  </si>
  <si>
    <t>Other NCA's (net)</t>
  </si>
  <si>
    <t>Creditors</t>
  </si>
  <si>
    <t>Short Term Borrowings</t>
  </si>
  <si>
    <t>Accrued Expenses</t>
  </si>
  <si>
    <t>2.1:1</t>
  </si>
  <si>
    <t>Get 'N' Go Pty Ltd</t>
  </si>
  <si>
    <t xml:space="preserve">All of the following ratios have been rounded to two decimal places. </t>
  </si>
  <si>
    <r>
      <t>Return on total assets</t>
    </r>
    <r>
      <rPr>
        <sz val="10"/>
        <rFont val="Arial"/>
        <family val="2"/>
      </rPr>
      <t xml:space="preserve"> =            </t>
    </r>
  </si>
  <si>
    <r>
      <t>Return on ordinary</t>
    </r>
    <r>
      <rPr>
        <sz val="10"/>
        <rFont val="Arial"/>
        <family val="2"/>
      </rPr>
      <t xml:space="preserve"> =</t>
    </r>
  </si>
  <si>
    <r>
      <t>Earnings per share</t>
    </r>
    <r>
      <rPr>
        <sz val="10"/>
        <rFont val="Arial"/>
        <family val="2"/>
      </rPr>
      <t xml:space="preserve"> =</t>
    </r>
  </si>
  <si>
    <t>Gross Profit Margin (The Family Mart)</t>
  </si>
  <si>
    <t>Current Ratio (The Family Mart)</t>
  </si>
  <si>
    <t>Inventory turnover (The Family Mart)</t>
  </si>
  <si>
    <t>Equity ratio (The Family Mart)</t>
  </si>
  <si>
    <t>Asset turnover (The Family Mart)</t>
  </si>
  <si>
    <t>Collection Period (The Family Mart)</t>
  </si>
  <si>
    <t>Profit after Tax (The Family Mart)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</si>
</sst>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  <numFmt numFmtId="166" formatCode="&quot;$&quot;#,##0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"/>
    <numFmt numFmtId="172" formatCode="0.0%"/>
    <numFmt numFmtId="173" formatCode="[$-409]h:mm:ss\ AM/PM"/>
    <numFmt numFmtId="174" formatCode="[$-C09]dddd\,\ d\ mmmm\ yyyy"/>
    <numFmt numFmtId="175" formatCode="0.000"/>
    <numFmt numFmtId="176" formatCode="&quot;$&quot;#,##0.00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33" borderId="0" xfId="0" applyFill="1" applyAlignment="1">
      <alignment/>
    </xf>
    <xf numFmtId="9" fontId="0" fillId="0" borderId="1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0" fontId="0" fillId="0" borderId="0" xfId="59" applyNumberFormat="1" applyFont="1" applyAlignment="1">
      <alignment/>
    </xf>
    <xf numFmtId="172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 quotePrefix="1">
      <alignment horizontal="center"/>
    </xf>
    <xf numFmtId="2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9"/>
  <sheetViews>
    <sheetView tabSelected="1" zoomScalePageLayoutView="0" workbookViewId="0" topLeftCell="Z1">
      <selection activeCell="A10" sqref="A10:Q53"/>
    </sheetView>
  </sheetViews>
  <sheetFormatPr defaultColWidth="9.140625" defaultRowHeight="12.75"/>
  <cols>
    <col min="1" max="1" width="26.00390625" style="0" customWidth="1"/>
    <col min="11" max="11" width="9.28125" style="0" bestFit="1" customWidth="1"/>
    <col min="12" max="12" width="10.28125" style="0" bestFit="1" customWidth="1"/>
    <col min="19" max="19" width="33.28125" style="0" bestFit="1" customWidth="1"/>
    <col min="20" max="20" width="11.140625" style="0" bestFit="1" customWidth="1"/>
    <col min="21" max="21" width="5.57421875" style="0" bestFit="1" customWidth="1"/>
    <col min="22" max="22" width="9.421875" style="0" bestFit="1" customWidth="1"/>
    <col min="23" max="23" width="5.57421875" style="0" bestFit="1" customWidth="1"/>
    <col min="24" max="24" width="9.28125" style="0" bestFit="1" customWidth="1"/>
    <col min="25" max="25" width="5.57421875" style="0" bestFit="1" customWidth="1"/>
    <col min="27" max="27" width="11.28125" style="0" bestFit="1" customWidth="1"/>
    <col min="28" max="28" width="6.8515625" style="0" bestFit="1" customWidth="1"/>
    <col min="29" max="29" width="6.7109375" style="0" customWidth="1"/>
    <col min="30" max="30" width="6.28125" style="0" customWidth="1"/>
    <col min="31" max="31" width="4.8515625" style="0" customWidth="1"/>
    <col min="32" max="33" width="9.28125" style="0" bestFit="1" customWidth="1"/>
    <col min="34" max="34" width="6.140625" style="0" customWidth="1"/>
    <col min="35" max="35" width="7.140625" style="0" bestFit="1" customWidth="1"/>
    <col min="36" max="36" width="4.7109375" style="0" customWidth="1"/>
    <col min="37" max="37" width="4.421875" style="0" customWidth="1"/>
    <col min="38" max="38" width="11.28125" style="0" bestFit="1" customWidth="1"/>
    <col min="39" max="39" width="9.28125" style="0" bestFit="1" customWidth="1"/>
    <col min="40" max="40" width="5.7109375" style="0" customWidth="1"/>
    <col min="41" max="41" width="7.00390625" style="0" bestFit="1" customWidth="1"/>
    <col min="42" max="42" width="4.57421875" style="0" customWidth="1"/>
    <col min="43" max="43" width="4.28125" style="0" customWidth="1"/>
    <col min="44" max="44" width="10.140625" style="0" bestFit="1" customWidth="1"/>
  </cols>
  <sheetData>
    <row r="1" spans="1:30" ht="12.75">
      <c r="A1" t="s">
        <v>25</v>
      </c>
      <c r="B1">
        <v>2009</v>
      </c>
      <c r="S1" s="1" t="s">
        <v>32</v>
      </c>
      <c r="T1" s="1" t="str">
        <f>B4</f>
        <v>Get 'N' Go Pty Ltd</v>
      </c>
      <c r="AA1" s="1" t="s">
        <v>63</v>
      </c>
      <c r="AD1" s="1" t="str">
        <f>B4</f>
        <v>Get 'N' Go Pty Ltd</v>
      </c>
    </row>
    <row r="2" spans="1:27" ht="12.75">
      <c r="A2" t="s">
        <v>26</v>
      </c>
      <c r="B2">
        <v>2010</v>
      </c>
      <c r="T2" s="23">
        <f>B3</f>
        <v>2011</v>
      </c>
      <c r="U2" s="23"/>
      <c r="V2" s="23">
        <f>B2</f>
        <v>2010</v>
      </c>
      <c r="W2" s="23"/>
      <c r="X2" s="23">
        <f>B1</f>
        <v>2009</v>
      </c>
      <c r="AA2" t="s">
        <v>133</v>
      </c>
    </row>
    <row r="3" spans="1:19" ht="12.75">
      <c r="A3" t="s">
        <v>27</v>
      </c>
      <c r="B3">
        <v>2011</v>
      </c>
      <c r="S3" s="22" t="s">
        <v>33</v>
      </c>
    </row>
    <row r="4" spans="1:27" ht="12.75">
      <c r="A4" t="s">
        <v>28</v>
      </c>
      <c r="B4" t="s">
        <v>132</v>
      </c>
      <c r="S4" t="s">
        <v>34</v>
      </c>
      <c r="T4" s="56">
        <f>(B24+B22)/((B40+C40)/2)</f>
        <v>0.3220779220779221</v>
      </c>
      <c r="U4" s="12"/>
      <c r="V4" s="56">
        <f>(C24+C22)/((C40+D40)/2)</f>
        <v>0.285</v>
      </c>
      <c r="W4" s="12"/>
      <c r="X4" s="56">
        <f>(D24+D22)/D40</f>
        <v>0.30952380952380953</v>
      </c>
      <c r="Z4" s="1"/>
      <c r="AA4" s="30" t="s">
        <v>64</v>
      </c>
    </row>
    <row r="5" spans="2:36" ht="15.75">
      <c r="B5" s="24" t="s">
        <v>42</v>
      </c>
      <c r="C5" s="24" t="s">
        <v>43</v>
      </c>
      <c r="D5" s="24" t="s">
        <v>44</v>
      </c>
      <c r="H5" s="45"/>
      <c r="S5" t="s">
        <v>35</v>
      </c>
      <c r="T5" s="56">
        <f>B26/((B53+C53)/2)</f>
        <v>0.31333333333333335</v>
      </c>
      <c r="U5" s="12"/>
      <c r="V5" s="56">
        <f>C26/((C53+D53)/2)</f>
        <v>0.2786458333333333</v>
      </c>
      <c r="W5" s="12"/>
      <c r="X5" s="56">
        <f>D26/D53</f>
        <v>0.29901960784313725</v>
      </c>
      <c r="Z5" s="1"/>
      <c r="AA5" s="1" t="s">
        <v>134</v>
      </c>
      <c r="AB5" s="31"/>
      <c r="AD5" s="35"/>
      <c r="AE5" s="33" t="s">
        <v>67</v>
      </c>
      <c r="AF5" s="33"/>
      <c r="AG5" s="33"/>
      <c r="AH5" s="33"/>
      <c r="AI5" s="33"/>
      <c r="AJ5" s="33"/>
    </row>
    <row r="6" spans="1:32" ht="15.75">
      <c r="A6" t="s">
        <v>39</v>
      </c>
      <c r="B6">
        <v>2000</v>
      </c>
      <c r="S6" t="s">
        <v>36</v>
      </c>
      <c r="T6" s="25">
        <f>B26/B7</f>
        <v>2.35</v>
      </c>
      <c r="U6" s="25"/>
      <c r="V6" s="25">
        <f>C26/C7</f>
        <v>2.14</v>
      </c>
      <c r="W6" s="25"/>
      <c r="X6" s="25">
        <f>D26/D7</f>
        <v>2.44</v>
      </c>
      <c r="Z6" s="1"/>
      <c r="AE6" s="32" t="s">
        <v>68</v>
      </c>
      <c r="AF6" t="s">
        <v>69</v>
      </c>
    </row>
    <row r="7" spans="1:26" ht="12.75">
      <c r="A7" t="s">
        <v>45</v>
      </c>
      <c r="B7">
        <v>100</v>
      </c>
      <c r="C7">
        <v>100</v>
      </c>
      <c r="D7">
        <v>100</v>
      </c>
      <c r="S7" t="s">
        <v>40</v>
      </c>
      <c r="T7" s="26">
        <f>(B6/B7)/T6</f>
        <v>8.51063829787234</v>
      </c>
      <c r="U7" s="26" t="s">
        <v>60</v>
      </c>
      <c r="V7" s="26"/>
      <c r="W7" s="26"/>
      <c r="X7" s="26"/>
      <c r="Y7" s="26"/>
      <c r="Z7" s="1"/>
    </row>
    <row r="8" spans="1:44" ht="12.75">
      <c r="A8" t="s">
        <v>79</v>
      </c>
      <c r="D8">
        <v>180000</v>
      </c>
      <c r="S8" t="s">
        <v>41</v>
      </c>
      <c r="T8" s="56">
        <f>T6/(B6/B7)</f>
        <v>0.11750000000000001</v>
      </c>
      <c r="U8" s="12"/>
      <c r="V8" s="12"/>
      <c r="W8" s="12"/>
      <c r="X8" s="12"/>
      <c r="Y8" s="12"/>
      <c r="Z8" s="1"/>
      <c r="AA8" s="20">
        <f>B3</f>
        <v>2011</v>
      </c>
      <c r="AB8" s="6">
        <f>B24</f>
        <v>336</v>
      </c>
      <c r="AC8" s="34" t="s">
        <v>65</v>
      </c>
      <c r="AD8" s="6">
        <f>B22</f>
        <v>36</v>
      </c>
      <c r="AE8" s="24" t="s">
        <v>66</v>
      </c>
      <c r="AF8" s="56">
        <f>(AB8+AD8)/AC9</f>
        <v>0.3220779220779221</v>
      </c>
      <c r="AG8" s="1">
        <f>B2</f>
        <v>2010</v>
      </c>
      <c r="AH8" s="6">
        <f>C24</f>
        <v>306</v>
      </c>
      <c r="AI8" s="34" t="s">
        <v>65</v>
      </c>
      <c r="AJ8" s="6">
        <f>C22</f>
        <v>36</v>
      </c>
      <c r="AK8" s="24" t="s">
        <v>66</v>
      </c>
      <c r="AL8" s="56">
        <f>(AH8+AJ8)/AI9</f>
        <v>0.285</v>
      </c>
      <c r="AM8" s="1">
        <f>B1</f>
        <v>2009</v>
      </c>
      <c r="AN8" s="6">
        <f>D24</f>
        <v>348</v>
      </c>
      <c r="AO8" s="34" t="s">
        <v>65</v>
      </c>
      <c r="AP8" s="6">
        <f>D22</f>
        <v>42</v>
      </c>
      <c r="AQ8" s="24" t="s">
        <v>66</v>
      </c>
      <c r="AR8" s="56">
        <f>(AN8+AP8)/AO9</f>
        <v>0.30952380952380953</v>
      </c>
    </row>
    <row r="9" spans="19:42" ht="12.75">
      <c r="S9" t="s">
        <v>37</v>
      </c>
      <c r="T9" s="39">
        <f>(C52+B26-B52)*1000</f>
        <v>175000</v>
      </c>
      <c r="U9" s="27"/>
      <c r="V9" s="39">
        <f>(D52+C26-C52)*1000</f>
        <v>310000</v>
      </c>
      <c r="W9" s="27"/>
      <c r="X9" s="39">
        <f>AR37</f>
        <v>180000</v>
      </c>
      <c r="Y9" s="27"/>
      <c r="Z9" s="1"/>
      <c r="AC9" s="29">
        <f>(B40+C40)/2</f>
        <v>1155</v>
      </c>
      <c r="AI9">
        <f>(C40+D40)/2</f>
        <v>1200</v>
      </c>
      <c r="AO9" s="2">
        <f>D40</f>
        <v>1260</v>
      </c>
      <c r="AP9" t="s">
        <v>89</v>
      </c>
    </row>
    <row r="10" spans="1:26" ht="12.75">
      <c r="A10" s="1" t="str">
        <f>B4</f>
        <v>Get 'N' Go Pty Ltd</v>
      </c>
      <c r="S10" t="s">
        <v>115</v>
      </c>
      <c r="T10" s="55">
        <f>AF42</f>
        <v>0.0875</v>
      </c>
      <c r="U10" s="25"/>
      <c r="V10" s="25"/>
      <c r="W10" s="25"/>
      <c r="X10" s="25"/>
      <c r="Y10" s="25"/>
      <c r="Z10" s="1"/>
    </row>
    <row r="11" spans="1:35" ht="15.75">
      <c r="A11" s="1" t="s">
        <v>123</v>
      </c>
      <c r="S11" t="s">
        <v>38</v>
      </c>
      <c r="T11" s="56">
        <f>T9/B26/1000</f>
        <v>0.7446808510638298</v>
      </c>
      <c r="U11" s="56"/>
      <c r="V11" s="56">
        <f>V9/C26/1000</f>
        <v>1.4485981308411215</v>
      </c>
      <c r="W11" s="56"/>
      <c r="X11" s="56">
        <f>AR50</f>
        <v>0.7377049180327869</v>
      </c>
      <c r="Y11" s="12"/>
      <c r="Z11" s="1"/>
      <c r="AA11" s="1" t="s">
        <v>135</v>
      </c>
      <c r="AE11" s="33"/>
      <c r="AF11" s="36" t="s">
        <v>72</v>
      </c>
      <c r="AG11" s="33"/>
      <c r="AH11" s="33"/>
      <c r="AI11" s="33"/>
    </row>
    <row r="12" spans="1:31" ht="15.75">
      <c r="A12" s="1" t="s">
        <v>29</v>
      </c>
      <c r="B12" s="1">
        <f>B3</f>
        <v>2011</v>
      </c>
      <c r="C12" s="1">
        <f>B2</f>
        <v>2010</v>
      </c>
      <c r="D12" s="11" t="s">
        <v>30</v>
      </c>
      <c r="E12" s="1">
        <f>B1</f>
        <v>2009</v>
      </c>
      <c r="N12" s="77" t="s">
        <v>18</v>
      </c>
      <c r="O12" s="77"/>
      <c r="P12" s="77"/>
      <c r="Q12" s="77"/>
      <c r="S12" s="43" t="s">
        <v>137</v>
      </c>
      <c r="T12" s="66">
        <v>0.3</v>
      </c>
      <c r="U12" s="12"/>
      <c r="V12" s="12"/>
      <c r="W12" s="12"/>
      <c r="X12" s="12"/>
      <c r="Y12" s="12"/>
      <c r="Z12" s="1"/>
      <c r="AA12" s="1" t="s">
        <v>70</v>
      </c>
      <c r="AE12" s="32" t="s">
        <v>71</v>
      </c>
    </row>
    <row r="13" spans="1:26" ht="12.75">
      <c r="A13" s="1" t="s">
        <v>0</v>
      </c>
      <c r="F13" s="77" t="s">
        <v>21</v>
      </c>
      <c r="G13" s="77"/>
      <c r="H13" s="77"/>
      <c r="J13" s="77" t="s">
        <v>17</v>
      </c>
      <c r="K13" s="77"/>
      <c r="L13" s="77"/>
      <c r="N13" s="11">
        <f>B2</f>
        <v>2010</v>
      </c>
      <c r="O13" s="11">
        <f>-B3</f>
        <v>-2011</v>
      </c>
      <c r="P13" s="11">
        <f>B1</f>
        <v>2009</v>
      </c>
      <c r="Q13" s="11">
        <f>-B2</f>
        <v>-2010</v>
      </c>
      <c r="S13" s="43" t="s">
        <v>143</v>
      </c>
      <c r="T13" s="66">
        <v>0.15</v>
      </c>
      <c r="U13" s="12"/>
      <c r="V13" s="12"/>
      <c r="W13" s="12"/>
      <c r="X13" s="12"/>
      <c r="Y13" s="12"/>
      <c r="Z13" s="1"/>
    </row>
    <row r="14" spans="2:44" ht="12.75">
      <c r="B14" s="3">
        <f>B3</f>
        <v>2011</v>
      </c>
      <c r="C14" s="3">
        <f>B2</f>
        <v>2010</v>
      </c>
      <c r="D14" s="3">
        <f>B1</f>
        <v>2009</v>
      </c>
      <c r="F14" s="3">
        <f>B3</f>
        <v>2011</v>
      </c>
      <c r="G14" s="3">
        <f>B2</f>
        <v>2010</v>
      </c>
      <c r="H14" s="3">
        <f>B1</f>
        <v>2009</v>
      </c>
      <c r="J14" s="3">
        <f>B3</f>
        <v>2011</v>
      </c>
      <c r="K14" s="3">
        <f>B2</f>
        <v>2010</v>
      </c>
      <c r="L14" s="3">
        <f>B1</f>
        <v>2009</v>
      </c>
      <c r="N14" s="11" t="s">
        <v>19</v>
      </c>
      <c r="O14" s="11" t="s">
        <v>20</v>
      </c>
      <c r="P14" s="11" t="s">
        <v>19</v>
      </c>
      <c r="Q14" s="11" t="s">
        <v>20</v>
      </c>
      <c r="S14" s="22" t="s">
        <v>46</v>
      </c>
      <c r="Z14" s="1"/>
      <c r="AA14" s="1">
        <f>B3</f>
        <v>2011</v>
      </c>
      <c r="AC14" s="6">
        <f>B26</f>
        <v>235</v>
      </c>
      <c r="AE14" s="24" t="s">
        <v>66</v>
      </c>
      <c r="AF14" s="56">
        <f>AC14/AC15</f>
        <v>0.31333333333333335</v>
      </c>
      <c r="AG14" s="1">
        <f>B2</f>
        <v>2010</v>
      </c>
      <c r="AI14" s="6">
        <f>C26</f>
        <v>214</v>
      </c>
      <c r="AK14" s="24" t="s">
        <v>66</v>
      </c>
      <c r="AL14" s="56">
        <f>AI14/AI15</f>
        <v>0.2786458333333333</v>
      </c>
      <c r="AM14" s="1">
        <f>B1</f>
        <v>2009</v>
      </c>
      <c r="AO14" s="6">
        <f>D26</f>
        <v>244</v>
      </c>
      <c r="AQ14" s="24" t="s">
        <v>66</v>
      </c>
      <c r="AR14" s="56">
        <f>AO14/AO15</f>
        <v>0.29901960784313725</v>
      </c>
    </row>
    <row r="15" spans="1:42" ht="12.75">
      <c r="A15" t="s">
        <v>1</v>
      </c>
      <c r="B15" s="2">
        <v>1860</v>
      </c>
      <c r="C15" s="2">
        <v>1830</v>
      </c>
      <c r="D15" s="2">
        <v>2100</v>
      </c>
      <c r="F15" s="56">
        <f>B15/$B$15</f>
        <v>1</v>
      </c>
      <c r="G15" s="56">
        <f>C15/$C$15</f>
        <v>1</v>
      </c>
      <c r="H15" s="56">
        <f>D15/$D$15</f>
        <v>1</v>
      </c>
      <c r="J15" s="13">
        <f>B15/D15</f>
        <v>0.8857142857142857</v>
      </c>
      <c r="K15" s="13">
        <f>C15/D15</f>
        <v>0.8714285714285714</v>
      </c>
      <c r="L15" s="13">
        <v>1</v>
      </c>
      <c r="N15" s="4">
        <f>B15-C15</f>
        <v>30</v>
      </c>
      <c r="O15" s="56">
        <f>N15/C15</f>
        <v>0.01639344262295082</v>
      </c>
      <c r="P15" s="4">
        <f>C15-D15</f>
        <v>-270</v>
      </c>
      <c r="Q15" s="56">
        <f>P15/D15</f>
        <v>-0.12857142857142856</v>
      </c>
      <c r="S15" s="43" t="s">
        <v>138</v>
      </c>
      <c r="T15" s="68" t="s">
        <v>131</v>
      </c>
      <c r="Z15" s="1"/>
      <c r="AC15">
        <f>(B53+C53)/2</f>
        <v>750</v>
      </c>
      <c r="AI15">
        <f>(C53+D53)/2</f>
        <v>768</v>
      </c>
      <c r="AO15" s="2">
        <f>D53</f>
        <v>816</v>
      </c>
      <c r="AP15" t="s">
        <v>89</v>
      </c>
    </row>
    <row r="16" spans="1:26" ht="12.75">
      <c r="A16" t="s">
        <v>117</v>
      </c>
      <c r="B16" s="9">
        <v>1320</v>
      </c>
      <c r="C16" s="9">
        <v>1320</v>
      </c>
      <c r="D16" s="9">
        <v>1500</v>
      </c>
      <c r="F16" s="62">
        <f>B16/$B$15</f>
        <v>0.7096774193548387</v>
      </c>
      <c r="G16" s="62">
        <f>C16/$C$15</f>
        <v>0.7213114754098361</v>
      </c>
      <c r="H16" s="62">
        <f>D16/$D$15</f>
        <v>0.7142857142857143</v>
      </c>
      <c r="J16" s="14">
        <f>B16/D16</f>
        <v>0.88</v>
      </c>
      <c r="K16" s="46">
        <f>C16/D16</f>
        <v>0.88</v>
      </c>
      <c r="L16" s="14">
        <v>1</v>
      </c>
      <c r="N16" s="6">
        <f>B16-C16</f>
        <v>0</v>
      </c>
      <c r="O16" s="62">
        <f>N16/C16</f>
        <v>0</v>
      </c>
      <c r="P16" s="6">
        <f>C16-D16</f>
        <v>-180</v>
      </c>
      <c r="Q16" s="62">
        <f>P16/D16</f>
        <v>-0.12</v>
      </c>
      <c r="S16" t="s">
        <v>47</v>
      </c>
      <c r="T16" s="26">
        <f>(B35+B36+B37)/(B43+B44+B45)</f>
        <v>1.3945578231292517</v>
      </c>
      <c r="U16" s="26" t="s">
        <v>61</v>
      </c>
      <c r="V16" s="26">
        <f>(C35+C36+C37)/(C43+C44+C45)</f>
        <v>1.2179487179487178</v>
      </c>
      <c r="W16" s="26" t="s">
        <v>61</v>
      </c>
      <c r="X16" s="26">
        <f>(D35+D36+D37)/(D43+D44+D45)</f>
        <v>1.5432098765432098</v>
      </c>
      <c r="Y16" s="26" t="s">
        <v>61</v>
      </c>
      <c r="Z16" s="1"/>
    </row>
    <row r="17" spans="1:34" ht="15.75">
      <c r="A17" t="s">
        <v>2</v>
      </c>
      <c r="B17" s="49">
        <f>B15-B16</f>
        <v>540</v>
      </c>
      <c r="C17" s="49">
        <f>C15-C16</f>
        <v>510</v>
      </c>
      <c r="D17" s="49">
        <f>D15-D16</f>
        <v>600</v>
      </c>
      <c r="F17" s="64">
        <f>B17/$B$15</f>
        <v>0.2903225806451613</v>
      </c>
      <c r="G17" s="64">
        <f>C17/$C$15</f>
        <v>0.2786885245901639</v>
      </c>
      <c r="H17" s="64">
        <f>D17/$D$15</f>
        <v>0.2857142857142857</v>
      </c>
      <c r="J17" s="15">
        <f>B17/D17</f>
        <v>0.9</v>
      </c>
      <c r="K17" s="15">
        <f>C17/D17</f>
        <v>0.85</v>
      </c>
      <c r="L17" s="15">
        <v>1</v>
      </c>
      <c r="N17" s="7">
        <f>B17-C17</f>
        <v>30</v>
      </c>
      <c r="O17" s="64">
        <f>N17/C17</f>
        <v>0.058823529411764705</v>
      </c>
      <c r="P17" s="7">
        <f>C17-D17</f>
        <v>-90</v>
      </c>
      <c r="Q17" s="64">
        <f>P17/D17</f>
        <v>-0.15</v>
      </c>
      <c r="S17" t="s">
        <v>48</v>
      </c>
      <c r="T17" s="26">
        <f>(B35+B36)/(B43+B44+B45)</f>
        <v>0.8979591836734694</v>
      </c>
      <c r="U17" s="26" t="s">
        <v>61</v>
      </c>
      <c r="V17" s="26">
        <f>(C35+C36)/(C43+C44+C45)</f>
        <v>0.7692307692307693</v>
      </c>
      <c r="W17" s="26" t="s">
        <v>61</v>
      </c>
      <c r="X17" s="26">
        <f>(D35+D36)/(D43+D44+D45)</f>
        <v>1.0185185185185186</v>
      </c>
      <c r="Y17" s="26" t="s">
        <v>61</v>
      </c>
      <c r="Z17" s="1"/>
      <c r="AA17" s="1" t="s">
        <v>136</v>
      </c>
      <c r="AE17" s="33"/>
      <c r="AF17" s="36" t="s">
        <v>72</v>
      </c>
      <c r="AG17" s="33"/>
      <c r="AH17" s="33"/>
    </row>
    <row r="18" spans="2:31" ht="15.75">
      <c r="B18" s="2"/>
      <c r="C18" s="2"/>
      <c r="D18" s="2"/>
      <c r="F18" s="63"/>
      <c r="G18" s="63"/>
      <c r="H18" s="63"/>
      <c r="J18" s="47"/>
      <c r="K18" s="13"/>
      <c r="L18" s="13"/>
      <c r="N18" s="48"/>
      <c r="O18" s="63"/>
      <c r="P18" s="4"/>
      <c r="Q18" s="63"/>
      <c r="S18" t="s">
        <v>49</v>
      </c>
      <c r="T18" s="29">
        <f>B15*0.2/((B36+C36)/2)</f>
        <v>5.166666666666667</v>
      </c>
      <c r="U18" s="26" t="s">
        <v>60</v>
      </c>
      <c r="V18" s="29">
        <f>C15*0.2/((C36+D36)/2)</f>
        <v>4.518518518518518</v>
      </c>
      <c r="W18" s="26" t="s">
        <v>60</v>
      </c>
      <c r="X18" s="29">
        <f>D15*0.2/D36</f>
        <v>4.666666666666667</v>
      </c>
      <c r="Y18" s="26" t="s">
        <v>60</v>
      </c>
      <c r="Z18" s="1"/>
      <c r="AE18" s="32" t="s">
        <v>73</v>
      </c>
    </row>
    <row r="19" spans="2:31" ht="15.75">
      <c r="B19" s="69"/>
      <c r="C19" s="69"/>
      <c r="D19" s="69"/>
      <c r="F19" s="63"/>
      <c r="G19" s="63"/>
      <c r="H19" s="63"/>
      <c r="J19" s="47"/>
      <c r="K19" s="47"/>
      <c r="L19" s="47"/>
      <c r="N19" s="48"/>
      <c r="O19" s="63"/>
      <c r="P19" s="48"/>
      <c r="Q19" s="63"/>
      <c r="S19" t="s">
        <v>50</v>
      </c>
      <c r="T19" s="28">
        <f>365/T18</f>
        <v>70.64516129032258</v>
      </c>
      <c r="U19" s="28" t="s">
        <v>62</v>
      </c>
      <c r="V19" s="28">
        <f>365/V18</f>
        <v>80.77868852459017</v>
      </c>
      <c r="W19" s="28" t="s">
        <v>62</v>
      </c>
      <c r="X19" s="28">
        <f>365/X18</f>
        <v>78.21428571428571</v>
      </c>
      <c r="Y19" s="28" t="s">
        <v>62</v>
      </c>
      <c r="Z19" s="1"/>
      <c r="AE19" s="32"/>
    </row>
    <row r="20" spans="1:26" ht="12.75">
      <c r="A20" t="s">
        <v>3</v>
      </c>
      <c r="B20" s="2"/>
      <c r="C20" s="2"/>
      <c r="D20" s="2"/>
      <c r="F20" s="56"/>
      <c r="G20" s="56"/>
      <c r="H20" s="56"/>
      <c r="J20" s="13"/>
      <c r="K20" s="13"/>
      <c r="L20" s="13"/>
      <c r="N20" s="4"/>
      <c r="O20" s="56"/>
      <c r="P20" s="4"/>
      <c r="Q20" s="56"/>
      <c r="S20" t="s">
        <v>51</v>
      </c>
      <c r="T20" s="29">
        <f>B16/((B37+C37)/2)</f>
        <v>9.23076923076923</v>
      </c>
      <c r="U20" s="26" t="s">
        <v>60</v>
      </c>
      <c r="V20" s="29">
        <f>C16/((C37+D37)/2)</f>
        <v>8.516129032258064</v>
      </c>
      <c r="W20" s="26" t="s">
        <v>60</v>
      </c>
      <c r="X20" s="29">
        <f>D16/D37</f>
        <v>8.823529411764707</v>
      </c>
      <c r="Y20" s="26" t="s">
        <v>60</v>
      </c>
      <c r="Z20" s="1"/>
    </row>
    <row r="21" spans="1:44" ht="12.75">
      <c r="A21" t="s">
        <v>4</v>
      </c>
      <c r="B21" s="2">
        <v>168</v>
      </c>
      <c r="C21" s="2">
        <v>168</v>
      </c>
      <c r="D21" s="2">
        <v>210</v>
      </c>
      <c r="F21" s="56">
        <f aca="true" t="shared" si="0" ref="F21:F26">B21/$B$15</f>
        <v>0.09032258064516129</v>
      </c>
      <c r="G21" s="56">
        <f aca="true" t="shared" si="1" ref="G21:G26">C21/$C$15</f>
        <v>0.09180327868852459</v>
      </c>
      <c r="H21" s="56">
        <f aca="true" t="shared" si="2" ref="H21:H26">D21/$D$15</f>
        <v>0.1</v>
      </c>
      <c r="J21" s="13">
        <f aca="true" t="shared" si="3" ref="J21:J26">B21/D21</f>
        <v>0.8</v>
      </c>
      <c r="K21" s="13">
        <f aca="true" t="shared" si="4" ref="K21:K26">C21/D21</f>
        <v>0.8</v>
      </c>
      <c r="L21" s="13">
        <v>1</v>
      </c>
      <c r="N21" s="4">
        <f aca="true" t="shared" si="5" ref="N21:N26">B21-C21</f>
        <v>0</v>
      </c>
      <c r="O21" s="56">
        <f aca="true" t="shared" si="6" ref="O21:O26">N21/C21</f>
        <v>0</v>
      </c>
      <c r="P21" s="4">
        <f aca="true" t="shared" si="7" ref="P21:P26">C21-D21</f>
        <v>-42</v>
      </c>
      <c r="Q21" s="56">
        <f aca="true" t="shared" si="8" ref="Q21:Q26">P21/D21</f>
        <v>-0.2</v>
      </c>
      <c r="S21" s="43" t="s">
        <v>139</v>
      </c>
      <c r="T21" s="61">
        <v>13</v>
      </c>
      <c r="U21" s="44" t="s">
        <v>60</v>
      </c>
      <c r="V21" s="26"/>
      <c r="W21" s="26"/>
      <c r="X21" s="26"/>
      <c r="Y21" s="26"/>
      <c r="Z21" s="1"/>
      <c r="AA21" s="1">
        <f>B3</f>
        <v>2011</v>
      </c>
      <c r="AC21" s="6">
        <f>B26</f>
        <v>235</v>
      </c>
      <c r="AE21" s="24" t="s">
        <v>66</v>
      </c>
      <c r="AF21" s="25">
        <f>AC21/AC22</f>
        <v>2.35</v>
      </c>
      <c r="AG21" s="1">
        <f>B2</f>
        <v>2010</v>
      </c>
      <c r="AI21" s="52">
        <f>C26</f>
        <v>214</v>
      </c>
      <c r="AK21" s="24" t="s">
        <v>66</v>
      </c>
      <c r="AL21" s="25">
        <f>AI21/AI22</f>
        <v>2.14</v>
      </c>
      <c r="AM21" s="1">
        <f>B1</f>
        <v>2009</v>
      </c>
      <c r="AO21" s="52">
        <f>D26</f>
        <v>244</v>
      </c>
      <c r="AQ21" s="24" t="s">
        <v>66</v>
      </c>
      <c r="AR21" s="25">
        <f>AO21/AO22</f>
        <v>2.44</v>
      </c>
    </row>
    <row r="22" spans="1:42" ht="12.75">
      <c r="A22" t="s">
        <v>5</v>
      </c>
      <c r="B22" s="9">
        <v>36</v>
      </c>
      <c r="C22" s="9">
        <v>36</v>
      </c>
      <c r="D22" s="9">
        <v>42</v>
      </c>
      <c r="F22" s="62">
        <f t="shared" si="0"/>
        <v>0.01935483870967742</v>
      </c>
      <c r="G22" s="62">
        <f t="shared" si="1"/>
        <v>0.019672131147540985</v>
      </c>
      <c r="H22" s="62">
        <f t="shared" si="2"/>
        <v>0.02</v>
      </c>
      <c r="J22" s="14">
        <f t="shared" si="3"/>
        <v>0.8571428571428571</v>
      </c>
      <c r="K22" s="14">
        <f t="shared" si="4"/>
        <v>0.8571428571428571</v>
      </c>
      <c r="L22" s="14">
        <v>1</v>
      </c>
      <c r="N22" s="6">
        <f t="shared" si="5"/>
        <v>0</v>
      </c>
      <c r="O22" s="62">
        <f t="shared" si="6"/>
        <v>0</v>
      </c>
      <c r="P22" s="6">
        <f t="shared" si="7"/>
        <v>-6</v>
      </c>
      <c r="Q22" s="62">
        <f t="shared" si="8"/>
        <v>-0.14285714285714285</v>
      </c>
      <c r="S22" t="s">
        <v>52</v>
      </c>
      <c r="T22" s="28">
        <f>365/T20</f>
        <v>39.54166666666667</v>
      </c>
      <c r="U22" s="28" t="s">
        <v>62</v>
      </c>
      <c r="V22" s="28">
        <f>365/V20</f>
        <v>42.859848484848484</v>
      </c>
      <c r="W22" s="28" t="s">
        <v>62</v>
      </c>
      <c r="X22" s="28">
        <f>365/X20</f>
        <v>41.36666666666667</v>
      </c>
      <c r="Y22" s="28" t="s">
        <v>62</v>
      </c>
      <c r="Z22" s="1"/>
      <c r="AC22" s="24">
        <f>B7</f>
        <v>100</v>
      </c>
      <c r="AI22" s="24">
        <f>C7</f>
        <v>100</v>
      </c>
      <c r="AO22" s="24">
        <f>D7</f>
        <v>100</v>
      </c>
      <c r="AP22" t="s">
        <v>89</v>
      </c>
    </row>
    <row r="23" spans="1:26" ht="12.75">
      <c r="A23" t="s">
        <v>6</v>
      </c>
      <c r="B23" s="49">
        <f>SUM(B21:B22)</f>
        <v>204</v>
      </c>
      <c r="C23" s="49">
        <f>SUM(C21:C22)</f>
        <v>204</v>
      </c>
      <c r="D23" s="49">
        <f>SUM(D21:D22)</f>
        <v>252</v>
      </c>
      <c r="F23" s="64">
        <f t="shared" si="0"/>
        <v>0.10967741935483871</v>
      </c>
      <c r="G23" s="64">
        <f t="shared" si="1"/>
        <v>0.11147540983606558</v>
      </c>
      <c r="H23" s="64">
        <f t="shared" si="2"/>
        <v>0.12</v>
      </c>
      <c r="J23" s="15">
        <f t="shared" si="3"/>
        <v>0.8095238095238095</v>
      </c>
      <c r="K23" s="15">
        <f t="shared" si="4"/>
        <v>0.8095238095238095</v>
      </c>
      <c r="L23" s="15">
        <v>1</v>
      </c>
      <c r="N23" s="7">
        <f t="shared" si="5"/>
        <v>0</v>
      </c>
      <c r="O23" s="64">
        <f t="shared" si="6"/>
        <v>0</v>
      </c>
      <c r="P23" s="7">
        <f t="shared" si="7"/>
        <v>-48</v>
      </c>
      <c r="Q23" s="64">
        <f t="shared" si="8"/>
        <v>-0.19047619047619047</v>
      </c>
      <c r="S23" t="s">
        <v>53</v>
      </c>
      <c r="T23" s="28">
        <f>T19+T22</f>
        <v>110.18682795698925</v>
      </c>
      <c r="U23" s="28" t="s">
        <v>62</v>
      </c>
      <c r="V23" s="28">
        <f>V19+V22</f>
        <v>123.63853700943865</v>
      </c>
      <c r="W23" s="28" t="s">
        <v>62</v>
      </c>
      <c r="X23" s="28">
        <f>X19+X22</f>
        <v>119.58095238095237</v>
      </c>
      <c r="Y23" s="28" t="s">
        <v>62</v>
      </c>
      <c r="Z23" s="1"/>
    </row>
    <row r="24" spans="1:34" ht="12.75">
      <c r="A24" t="s">
        <v>9</v>
      </c>
      <c r="B24" s="2">
        <f>B17-B23</f>
        <v>336</v>
      </c>
      <c r="C24" s="2">
        <f>C17-C23</f>
        <v>306</v>
      </c>
      <c r="D24" s="2">
        <f>D17-D23</f>
        <v>348</v>
      </c>
      <c r="F24" s="56">
        <f t="shared" si="0"/>
        <v>0.18064516129032257</v>
      </c>
      <c r="G24" s="56">
        <f t="shared" si="1"/>
        <v>0.16721311475409836</v>
      </c>
      <c r="H24" s="56">
        <f t="shared" si="2"/>
        <v>0.1657142857142857</v>
      </c>
      <c r="J24" s="13">
        <f t="shared" si="3"/>
        <v>0.9655172413793104</v>
      </c>
      <c r="K24" s="13">
        <f t="shared" si="4"/>
        <v>0.8793103448275862</v>
      </c>
      <c r="L24" s="13">
        <v>1</v>
      </c>
      <c r="N24" s="4">
        <f t="shared" si="5"/>
        <v>30</v>
      </c>
      <c r="O24" s="56">
        <f t="shared" si="6"/>
        <v>0.09803921568627451</v>
      </c>
      <c r="P24" s="4">
        <f t="shared" si="7"/>
        <v>-42</v>
      </c>
      <c r="Q24" s="56">
        <f t="shared" si="8"/>
        <v>-0.1206896551724138</v>
      </c>
      <c r="S24" s="43" t="s">
        <v>142</v>
      </c>
      <c r="T24" s="43">
        <v>36</v>
      </c>
      <c r="U24" s="67" t="s">
        <v>62</v>
      </c>
      <c r="Z24" s="1"/>
      <c r="AA24" s="1" t="s">
        <v>74</v>
      </c>
      <c r="AE24" s="33" t="s">
        <v>75</v>
      </c>
      <c r="AF24" s="33"/>
      <c r="AG24" s="33"/>
      <c r="AH24" s="33"/>
    </row>
    <row r="25" spans="1:32" ht="12.75">
      <c r="A25" t="s">
        <v>7</v>
      </c>
      <c r="B25" s="9">
        <f>ROUND(B24*0.3,0)</f>
        <v>101</v>
      </c>
      <c r="C25" s="9">
        <f>ROUND(C24*0.3,0)</f>
        <v>92</v>
      </c>
      <c r="D25" s="9">
        <f>ROUND(D24*0.3,0)</f>
        <v>104</v>
      </c>
      <c r="F25" s="56">
        <f t="shared" si="0"/>
        <v>0.0543010752688172</v>
      </c>
      <c r="G25" s="56">
        <f t="shared" si="1"/>
        <v>0.05027322404371585</v>
      </c>
      <c r="H25" s="56">
        <f t="shared" si="2"/>
        <v>0.049523809523809526</v>
      </c>
      <c r="J25" s="13">
        <f t="shared" si="3"/>
        <v>0.9711538461538461</v>
      </c>
      <c r="K25" s="13">
        <f t="shared" si="4"/>
        <v>0.8846153846153846</v>
      </c>
      <c r="L25" s="13">
        <v>1</v>
      </c>
      <c r="N25" s="4">
        <f t="shared" si="5"/>
        <v>9</v>
      </c>
      <c r="O25" s="56">
        <f t="shared" si="6"/>
        <v>0.09782608695652174</v>
      </c>
      <c r="P25" s="4">
        <f t="shared" si="7"/>
        <v>-12</v>
      </c>
      <c r="Q25" s="56">
        <f t="shared" si="8"/>
        <v>-0.11538461538461539</v>
      </c>
      <c r="S25" s="22" t="s">
        <v>54</v>
      </c>
      <c r="Z25" s="1"/>
      <c r="AF25" t="s">
        <v>36</v>
      </c>
    </row>
    <row r="26" spans="1:26" ht="13.5" thickBot="1">
      <c r="A26" t="s">
        <v>8</v>
      </c>
      <c r="B26" s="10">
        <f>B24-B25</f>
        <v>235</v>
      </c>
      <c r="C26" s="10">
        <f>C24-C25</f>
        <v>214</v>
      </c>
      <c r="D26" s="10">
        <f>D24-D25</f>
        <v>244</v>
      </c>
      <c r="F26" s="65">
        <f t="shared" si="0"/>
        <v>0.12634408602150538</v>
      </c>
      <c r="G26" s="65">
        <f t="shared" si="1"/>
        <v>0.11693989071038251</v>
      </c>
      <c r="H26" s="65">
        <f t="shared" si="2"/>
        <v>0.11619047619047619</v>
      </c>
      <c r="J26" s="16">
        <f t="shared" si="3"/>
        <v>0.9631147540983607</v>
      </c>
      <c r="K26" s="16">
        <f t="shared" si="4"/>
        <v>0.8770491803278688</v>
      </c>
      <c r="L26" s="16">
        <v>1</v>
      </c>
      <c r="N26" s="8">
        <f t="shared" si="5"/>
        <v>21</v>
      </c>
      <c r="O26" s="65">
        <f t="shared" si="6"/>
        <v>0.09813084112149532</v>
      </c>
      <c r="P26" s="8">
        <f t="shared" si="7"/>
        <v>-30</v>
      </c>
      <c r="Q26" s="65">
        <f t="shared" si="8"/>
        <v>-0.12295081967213115</v>
      </c>
      <c r="S26" t="s">
        <v>55</v>
      </c>
      <c r="T26" s="56">
        <f>B47/B40</f>
        <v>0.3333333333333333</v>
      </c>
      <c r="U26" s="56"/>
      <c r="V26" s="56">
        <f>C47/C40</f>
        <v>0.3684210526315789</v>
      </c>
      <c r="W26" s="56"/>
      <c r="X26" s="56">
        <f>D47/D40</f>
        <v>0.3523809523809524</v>
      </c>
      <c r="Y26" s="12"/>
      <c r="Z26" s="76"/>
    </row>
    <row r="27" spans="2:44" ht="13.5" thickTop="1">
      <c r="B27" s="4"/>
      <c r="C27" s="4"/>
      <c r="D27" s="4"/>
      <c r="S27" t="s">
        <v>56</v>
      </c>
      <c r="T27" s="56">
        <f>B53/B40</f>
        <v>0.6666666666666666</v>
      </c>
      <c r="U27" s="56"/>
      <c r="V27" s="56">
        <f>C53/C40</f>
        <v>0.631578947368421</v>
      </c>
      <c r="W27" s="56"/>
      <c r="X27" s="56">
        <f>D53/D40</f>
        <v>0.6476190476190476</v>
      </c>
      <c r="Y27" s="12"/>
      <c r="Z27" s="76"/>
      <c r="AA27" s="1">
        <f>B3</f>
        <v>2011</v>
      </c>
      <c r="AC27" s="34">
        <f>(B6/B7)</f>
        <v>20</v>
      </c>
      <c r="AE27" s="24" t="s">
        <v>66</v>
      </c>
      <c r="AF27" s="4">
        <f>AC27/AC28</f>
        <v>8.51063829787234</v>
      </c>
      <c r="AG27" s="19" t="s">
        <v>60</v>
      </c>
      <c r="AI27" s="35"/>
      <c r="AK27" s="24"/>
      <c r="AL27" s="37"/>
      <c r="AM27" s="1"/>
      <c r="AO27" s="35"/>
      <c r="AQ27" s="24"/>
      <c r="AR27" s="37"/>
    </row>
    <row r="28" spans="2:41" ht="12.75">
      <c r="B28" s="4"/>
      <c r="C28" s="4"/>
      <c r="D28" s="4"/>
      <c r="S28" s="43" t="s">
        <v>140</v>
      </c>
      <c r="T28" s="66">
        <v>0.62</v>
      </c>
      <c r="U28" s="56"/>
      <c r="V28" s="56"/>
      <c r="W28" s="56"/>
      <c r="X28" s="56"/>
      <c r="Y28" s="12"/>
      <c r="Z28" s="76"/>
      <c r="AC28" s="51">
        <f>AF21</f>
        <v>2.35</v>
      </c>
      <c r="AI28" s="25"/>
      <c r="AO28" s="25"/>
    </row>
    <row r="29" spans="1:26" ht="12.75">
      <c r="A29" s="1" t="str">
        <f>B4</f>
        <v>Get 'N' Go Pty Ltd</v>
      </c>
      <c r="B29" s="4"/>
      <c r="C29" s="4"/>
      <c r="D29" s="4"/>
      <c r="S29" t="s">
        <v>57</v>
      </c>
      <c r="T29" s="26">
        <f>B40/B53</f>
        <v>1.5</v>
      </c>
      <c r="U29" s="26" t="s">
        <v>61</v>
      </c>
      <c r="V29" s="26">
        <f>C40/C53</f>
        <v>1.5833333333333333</v>
      </c>
      <c r="W29" s="26" t="s">
        <v>61</v>
      </c>
      <c r="X29" s="26">
        <f>D40/D53</f>
        <v>1.5441176470588236</v>
      </c>
      <c r="Y29" s="26" t="s">
        <v>61</v>
      </c>
      <c r="Z29" s="42"/>
    </row>
    <row r="30" spans="1:34" ht="12.75">
      <c r="A30" s="1" t="s">
        <v>124</v>
      </c>
      <c r="B30" s="4"/>
      <c r="C30" s="4"/>
      <c r="D30" s="4"/>
      <c r="S30" t="s">
        <v>58</v>
      </c>
      <c r="T30" s="26">
        <f>(B15+B18)/((B40+C40)/2)</f>
        <v>1.6103896103896105</v>
      </c>
      <c r="U30" s="72" t="s">
        <v>60</v>
      </c>
      <c r="V30" s="26">
        <f>(C15+C18)/((C40+D40)/2)</f>
        <v>1.525</v>
      </c>
      <c r="W30" s="72" t="s">
        <v>60</v>
      </c>
      <c r="X30" s="26">
        <f>(D15+D18)/D40</f>
        <v>1.6666666666666667</v>
      </c>
      <c r="Y30" s="72" t="s">
        <v>60</v>
      </c>
      <c r="Z30" s="1"/>
      <c r="AA30" s="1" t="s">
        <v>76</v>
      </c>
      <c r="AE30" s="33"/>
      <c r="AF30" s="33" t="s">
        <v>36</v>
      </c>
      <c r="AG30" s="33"/>
      <c r="AH30" s="33"/>
    </row>
    <row r="31" spans="1:31" ht="12.75">
      <c r="A31" s="1" t="s">
        <v>31</v>
      </c>
      <c r="B31" s="20">
        <f>B3</f>
        <v>2011</v>
      </c>
      <c r="C31" s="20">
        <f>B2</f>
        <v>2010</v>
      </c>
      <c r="D31" s="21" t="s">
        <v>30</v>
      </c>
      <c r="E31" s="1">
        <f>B1</f>
        <v>2009</v>
      </c>
      <c r="N31" s="77" t="s">
        <v>18</v>
      </c>
      <c r="O31" s="77"/>
      <c r="P31" s="77"/>
      <c r="Q31" s="77"/>
      <c r="S31" s="43" t="s">
        <v>141</v>
      </c>
      <c r="T31" s="44">
        <v>4.5</v>
      </c>
      <c r="U31" s="44" t="s">
        <v>60</v>
      </c>
      <c r="V31" s="26"/>
      <c r="W31" s="26"/>
      <c r="X31" s="26"/>
      <c r="Y31" s="26"/>
      <c r="Z31" s="1"/>
      <c r="AE31" t="s">
        <v>75</v>
      </c>
    </row>
    <row r="32" spans="1:26" ht="12.75">
      <c r="A32" s="1" t="s">
        <v>0</v>
      </c>
      <c r="B32" s="5"/>
      <c r="C32" s="5"/>
      <c r="D32" s="5"/>
      <c r="F32" s="77" t="s">
        <v>21</v>
      </c>
      <c r="G32" s="77"/>
      <c r="H32" s="77"/>
      <c r="J32" s="77" t="s">
        <v>17</v>
      </c>
      <c r="K32" s="77"/>
      <c r="L32" s="77"/>
      <c r="N32" s="11">
        <f>B2</f>
        <v>2010</v>
      </c>
      <c r="O32" s="11">
        <f>-B3</f>
        <v>-2011</v>
      </c>
      <c r="P32" s="11">
        <f>B1</f>
        <v>2009</v>
      </c>
      <c r="Q32" s="11">
        <f>-B2</f>
        <v>-2010</v>
      </c>
      <c r="S32" t="s">
        <v>59</v>
      </c>
      <c r="T32" s="29">
        <f>(B24+B22)/B22</f>
        <v>10.333333333333334</v>
      </c>
      <c r="U32" s="29" t="s">
        <v>60</v>
      </c>
      <c r="V32" s="29">
        <f>(C24+C22)/C22</f>
        <v>9.5</v>
      </c>
      <c r="W32" s="29" t="s">
        <v>60</v>
      </c>
      <c r="X32" s="29">
        <f>(D24+D22)/D22</f>
        <v>9.285714285714286</v>
      </c>
      <c r="Y32" s="29" t="s">
        <v>60</v>
      </c>
      <c r="Z32" s="1"/>
    </row>
    <row r="33" spans="2:44" ht="12.75">
      <c r="B33" s="18">
        <f>B3</f>
        <v>2011</v>
      </c>
      <c r="C33" s="18">
        <f>B2</f>
        <v>2010</v>
      </c>
      <c r="D33" s="18">
        <f>B1</f>
        <v>2009</v>
      </c>
      <c r="F33" s="3">
        <f>B3</f>
        <v>2011</v>
      </c>
      <c r="G33" s="3">
        <f>B2</f>
        <v>2010</v>
      </c>
      <c r="H33" s="3">
        <f>B1</f>
        <v>2009</v>
      </c>
      <c r="J33" s="3">
        <f>B3</f>
        <v>2011</v>
      </c>
      <c r="K33" s="3">
        <f>B2</f>
        <v>2010</v>
      </c>
      <c r="L33" s="3">
        <f>B1</f>
        <v>2009</v>
      </c>
      <c r="N33" s="11" t="s">
        <v>19</v>
      </c>
      <c r="O33" s="11" t="s">
        <v>20</v>
      </c>
      <c r="P33" s="11" t="s">
        <v>19</v>
      </c>
      <c r="Q33" s="11" t="s">
        <v>20</v>
      </c>
      <c r="AA33" s="1">
        <f>B3</f>
        <v>2011</v>
      </c>
      <c r="AC33" s="50">
        <f>AF21</f>
        <v>2.35</v>
      </c>
      <c r="AE33" s="24" t="s">
        <v>66</v>
      </c>
      <c r="AF33" s="56">
        <f>AC33/AC34</f>
        <v>0.11750000000000001</v>
      </c>
      <c r="AG33" s="1"/>
      <c r="AI33" s="41"/>
      <c r="AK33" s="24"/>
      <c r="AL33" s="25"/>
      <c r="AM33" s="1"/>
      <c r="AO33" s="41"/>
      <c r="AQ33" s="24"/>
      <c r="AR33" s="25"/>
    </row>
    <row r="34" spans="1:29" ht="12.75">
      <c r="A34" s="1" t="s">
        <v>10</v>
      </c>
      <c r="B34" s="2"/>
      <c r="C34" s="2"/>
      <c r="D34" s="2"/>
      <c r="AC34" s="24">
        <f>B6/B7</f>
        <v>20</v>
      </c>
    </row>
    <row r="35" spans="1:29" ht="12.75">
      <c r="A35" t="s">
        <v>22</v>
      </c>
      <c r="B35" s="2">
        <v>192</v>
      </c>
      <c r="C35" s="2">
        <v>168</v>
      </c>
      <c r="D35" s="2">
        <v>240</v>
      </c>
      <c r="F35" s="56">
        <f aca="true" t="shared" si="9" ref="F35:G40">B35/B$40</f>
        <v>0.1641025641025641</v>
      </c>
      <c r="G35" s="56">
        <f t="shared" si="9"/>
        <v>0.14736842105263157</v>
      </c>
      <c r="H35" s="56">
        <f aca="true" t="shared" si="10" ref="H35:H40">D35/D$40</f>
        <v>0.19047619047619047</v>
      </c>
      <c r="J35" s="13">
        <f aca="true" t="shared" si="11" ref="J35:J40">B35/D35</f>
        <v>0.8</v>
      </c>
      <c r="K35" s="13">
        <f aca="true" t="shared" si="12" ref="K35:K40">C35/D35</f>
        <v>0.7</v>
      </c>
      <c r="L35" s="13">
        <v>1</v>
      </c>
      <c r="N35" s="4">
        <f aca="true" t="shared" si="13" ref="N35:N40">B35-C35</f>
        <v>24</v>
      </c>
      <c r="O35" s="56">
        <f aca="true" t="shared" si="14" ref="O35:O40">N35/C35</f>
        <v>0.14285714285714285</v>
      </c>
      <c r="P35" s="4">
        <f aca="true" t="shared" si="15" ref="P35:P40">C35-D35</f>
        <v>-72</v>
      </c>
      <c r="Q35" s="56">
        <f aca="true" t="shared" si="16" ref="Q35:Q40">P35/D35</f>
        <v>-0.3</v>
      </c>
      <c r="AA35" s="1" t="s">
        <v>77</v>
      </c>
      <c r="AC35" t="s">
        <v>78</v>
      </c>
    </row>
    <row r="36" spans="1:17" ht="12.75">
      <c r="A36" t="s">
        <v>23</v>
      </c>
      <c r="B36" s="2">
        <v>72</v>
      </c>
      <c r="C36" s="2">
        <v>72</v>
      </c>
      <c r="D36" s="2">
        <v>90</v>
      </c>
      <c r="F36" s="56">
        <f t="shared" si="9"/>
        <v>0.06153846153846154</v>
      </c>
      <c r="G36" s="56">
        <f t="shared" si="9"/>
        <v>0.06315789473684211</v>
      </c>
      <c r="H36" s="56">
        <f t="shared" si="10"/>
        <v>0.07142857142857142</v>
      </c>
      <c r="J36" s="13">
        <f t="shared" si="11"/>
        <v>0.8</v>
      </c>
      <c r="K36" s="13">
        <f t="shared" si="12"/>
        <v>0.8</v>
      </c>
      <c r="L36" s="13">
        <v>1</v>
      </c>
      <c r="N36" s="4">
        <f t="shared" si="13"/>
        <v>0</v>
      </c>
      <c r="O36" s="56">
        <f t="shared" si="14"/>
        <v>0</v>
      </c>
      <c r="P36" s="4">
        <f t="shared" si="15"/>
        <v>-18</v>
      </c>
      <c r="Q36" s="56">
        <f t="shared" si="16"/>
        <v>-0.2</v>
      </c>
    </row>
    <row r="37" spans="1:44" ht="12.75">
      <c r="A37" t="s">
        <v>11</v>
      </c>
      <c r="B37" s="2">
        <v>146</v>
      </c>
      <c r="C37" s="2">
        <v>140</v>
      </c>
      <c r="D37" s="2">
        <v>170</v>
      </c>
      <c r="F37" s="56">
        <f t="shared" si="9"/>
        <v>0.12478632478632479</v>
      </c>
      <c r="G37" s="56">
        <f t="shared" si="9"/>
        <v>0.12280701754385964</v>
      </c>
      <c r="H37" s="56">
        <f t="shared" si="10"/>
        <v>0.1349206349206349</v>
      </c>
      <c r="J37" s="13">
        <f t="shared" si="11"/>
        <v>0.8588235294117647</v>
      </c>
      <c r="K37" s="13">
        <f t="shared" si="12"/>
        <v>0.8235294117647058</v>
      </c>
      <c r="L37" s="13">
        <v>1</v>
      </c>
      <c r="N37" s="4">
        <f t="shared" si="13"/>
        <v>6</v>
      </c>
      <c r="O37" s="56">
        <f t="shared" si="14"/>
        <v>0.04285714285714286</v>
      </c>
      <c r="P37" s="4">
        <f t="shared" si="15"/>
        <v>-30</v>
      </c>
      <c r="Q37" s="56">
        <f t="shared" si="16"/>
        <v>-0.17647058823529413</v>
      </c>
      <c r="AA37" s="1">
        <f>B3</f>
        <v>2011</v>
      </c>
      <c r="AE37" s="24" t="s">
        <v>66</v>
      </c>
      <c r="AF37" s="39">
        <f>(C52+B26-B52)*1000</f>
        <v>175000</v>
      </c>
      <c r="AG37" s="1">
        <f>B2</f>
        <v>2010</v>
      </c>
      <c r="AK37" s="24" t="s">
        <v>66</v>
      </c>
      <c r="AL37" s="39">
        <f>(D52+C26-C52)*1000</f>
        <v>310000</v>
      </c>
      <c r="AM37" s="1">
        <f>B1</f>
        <v>2009</v>
      </c>
      <c r="AQ37" s="24" t="s">
        <v>66</v>
      </c>
      <c r="AR37" s="39">
        <f>D8</f>
        <v>180000</v>
      </c>
    </row>
    <row r="38" spans="1:17" ht="12.75">
      <c r="A38" t="s">
        <v>126</v>
      </c>
      <c r="B38" s="2">
        <v>720</v>
      </c>
      <c r="C38" s="2">
        <v>720</v>
      </c>
      <c r="D38" s="2">
        <v>720</v>
      </c>
      <c r="F38" s="56">
        <f t="shared" si="9"/>
        <v>0.6153846153846154</v>
      </c>
      <c r="G38" s="56">
        <f t="shared" si="9"/>
        <v>0.631578947368421</v>
      </c>
      <c r="H38" s="56">
        <f t="shared" si="10"/>
        <v>0.5714285714285714</v>
      </c>
      <c r="J38" s="13">
        <f t="shared" si="11"/>
        <v>1</v>
      </c>
      <c r="K38" s="13">
        <f t="shared" si="12"/>
        <v>1</v>
      </c>
      <c r="L38" s="13">
        <v>1</v>
      </c>
      <c r="N38" s="4">
        <f t="shared" si="13"/>
        <v>0</v>
      </c>
      <c r="O38" s="56">
        <f t="shared" si="14"/>
        <v>0</v>
      </c>
      <c r="P38" s="4">
        <f t="shared" si="15"/>
        <v>0</v>
      </c>
      <c r="Q38" s="56">
        <f t="shared" si="16"/>
        <v>0</v>
      </c>
    </row>
    <row r="39" spans="1:32" ht="12.75">
      <c r="A39" t="s">
        <v>127</v>
      </c>
      <c r="B39" s="9">
        <v>40</v>
      </c>
      <c r="C39" s="9">
        <v>40</v>
      </c>
      <c r="D39" s="9">
        <v>40</v>
      </c>
      <c r="F39" s="62">
        <f t="shared" si="9"/>
        <v>0.03418803418803419</v>
      </c>
      <c r="G39" s="62">
        <f t="shared" si="9"/>
        <v>0.03508771929824561</v>
      </c>
      <c r="H39" s="62">
        <f t="shared" si="10"/>
        <v>0.031746031746031744</v>
      </c>
      <c r="J39" s="14">
        <f t="shared" si="11"/>
        <v>1</v>
      </c>
      <c r="K39" s="14">
        <f t="shared" si="12"/>
        <v>1</v>
      </c>
      <c r="L39" s="14">
        <v>1</v>
      </c>
      <c r="N39" s="6">
        <f t="shared" si="13"/>
        <v>0</v>
      </c>
      <c r="O39" s="62">
        <f t="shared" si="14"/>
        <v>0</v>
      </c>
      <c r="P39" s="6">
        <f t="shared" si="15"/>
        <v>0</v>
      </c>
      <c r="Q39" s="62">
        <f t="shared" si="16"/>
        <v>0</v>
      </c>
      <c r="AA39" s="1" t="s">
        <v>113</v>
      </c>
      <c r="AE39" s="38" t="s">
        <v>114</v>
      </c>
      <c r="AF39" s="38"/>
    </row>
    <row r="40" spans="1:31" ht="12.75">
      <c r="A40" t="s">
        <v>12</v>
      </c>
      <c r="B40" s="2">
        <f>SUM(B35:B39)</f>
        <v>1170</v>
      </c>
      <c r="C40" s="2">
        <f>SUM(C35:C39)</f>
        <v>1140</v>
      </c>
      <c r="D40" s="2">
        <f>SUM(D35:D39)</f>
        <v>1260</v>
      </c>
      <c r="F40" s="56">
        <f t="shared" si="9"/>
        <v>1</v>
      </c>
      <c r="G40" s="56">
        <f t="shared" si="9"/>
        <v>1</v>
      </c>
      <c r="H40" s="56">
        <f t="shared" si="10"/>
        <v>1</v>
      </c>
      <c r="J40" s="13">
        <f t="shared" si="11"/>
        <v>0.9285714285714286</v>
      </c>
      <c r="K40" s="13">
        <f t="shared" si="12"/>
        <v>0.9047619047619048</v>
      </c>
      <c r="L40" s="13">
        <v>1</v>
      </c>
      <c r="N40" s="4">
        <f t="shared" si="13"/>
        <v>30</v>
      </c>
      <c r="O40" s="56">
        <f t="shared" si="14"/>
        <v>0.02631578947368421</v>
      </c>
      <c r="P40" s="4">
        <f t="shared" si="15"/>
        <v>-120</v>
      </c>
      <c r="Q40" s="56">
        <f t="shared" si="16"/>
        <v>-0.09523809523809523</v>
      </c>
      <c r="AE40" t="s">
        <v>75</v>
      </c>
    </row>
    <row r="41" spans="2:17" ht="12.75">
      <c r="B41" s="2"/>
      <c r="C41" s="2"/>
      <c r="D41" s="2"/>
      <c r="F41" s="56"/>
      <c r="G41" s="56"/>
      <c r="H41" s="56"/>
      <c r="J41" s="13"/>
      <c r="K41" s="13"/>
      <c r="L41" s="13"/>
      <c r="N41" s="2"/>
      <c r="O41" s="56"/>
      <c r="P41" s="2"/>
      <c r="Q41" s="56"/>
    </row>
    <row r="42" spans="1:44" ht="12.75">
      <c r="A42" s="1" t="s">
        <v>13</v>
      </c>
      <c r="B42" s="2"/>
      <c r="C42" s="2"/>
      <c r="D42" s="2"/>
      <c r="F42" s="56"/>
      <c r="G42" s="56"/>
      <c r="H42" s="56"/>
      <c r="J42" s="13"/>
      <c r="K42" s="13"/>
      <c r="L42" s="13"/>
      <c r="N42" s="2"/>
      <c r="O42" s="56"/>
      <c r="P42" s="2"/>
      <c r="Q42" s="56"/>
      <c r="AA42" s="1">
        <f>B3</f>
        <v>2011</v>
      </c>
      <c r="AC42" s="54">
        <f>AF37/1000/B7</f>
        <v>1.75</v>
      </c>
      <c r="AE42" s="24" t="s">
        <v>66</v>
      </c>
      <c r="AF42" s="55">
        <f>AC42/AC43</f>
        <v>0.0875</v>
      </c>
      <c r="AG42" s="1"/>
      <c r="AI42" s="40"/>
      <c r="AK42" s="24"/>
      <c r="AL42" s="25"/>
      <c r="AM42" s="1"/>
      <c r="AO42" s="40"/>
      <c r="AQ42" s="24"/>
      <c r="AR42" s="25"/>
    </row>
    <row r="43" spans="1:39" ht="12.75">
      <c r="A43" s="19" t="s">
        <v>128</v>
      </c>
      <c r="B43" s="2">
        <v>222</v>
      </c>
      <c r="C43" s="2">
        <v>228</v>
      </c>
      <c r="D43" s="2">
        <v>240</v>
      </c>
      <c r="F43" s="56">
        <f aca="true" t="shared" si="17" ref="F43:G48">B43/B$40</f>
        <v>0.18974358974358974</v>
      </c>
      <c r="G43" s="56">
        <f t="shared" si="17"/>
        <v>0.2</v>
      </c>
      <c r="H43" s="56">
        <f aca="true" t="shared" si="18" ref="H43:H48">D43/D$40</f>
        <v>0.19047619047619047</v>
      </c>
      <c r="J43" s="13">
        <f aca="true" t="shared" si="19" ref="J43:J48">B43/D43</f>
        <v>0.925</v>
      </c>
      <c r="K43" s="13">
        <f aca="true" t="shared" si="20" ref="K43:K48">C43/D43</f>
        <v>0.95</v>
      </c>
      <c r="L43" s="13">
        <v>1</v>
      </c>
      <c r="N43" s="4">
        <f aca="true" t="shared" si="21" ref="N43:N48">B43-C43</f>
        <v>-6</v>
      </c>
      <c r="O43" s="56">
        <f aca="true" t="shared" si="22" ref="O43:O48">N43/C43</f>
        <v>-0.02631578947368421</v>
      </c>
      <c r="P43" s="4">
        <f aca="true" t="shared" si="23" ref="P43:P48">C43-D43</f>
        <v>-12</v>
      </c>
      <c r="Q43" s="56">
        <f aca="true" t="shared" si="24" ref="Q43:Q48">P43/D43</f>
        <v>-0.05</v>
      </c>
      <c r="AC43" s="24">
        <f>B6/B7</f>
        <v>20</v>
      </c>
      <c r="AM43" s="19"/>
    </row>
    <row r="44" spans="1:39" ht="12.75">
      <c r="A44" s="19" t="s">
        <v>129</v>
      </c>
      <c r="B44" s="2">
        <v>60</v>
      </c>
      <c r="C44" s="2">
        <v>66</v>
      </c>
      <c r="D44" s="2">
        <v>72</v>
      </c>
      <c r="F44" s="56">
        <f>B44/B$40</f>
        <v>0.05128205128205128</v>
      </c>
      <c r="G44" s="56">
        <f>C44/C$40</f>
        <v>0.05789473684210526</v>
      </c>
      <c r="H44" s="56">
        <f t="shared" si="18"/>
        <v>0.05714285714285714</v>
      </c>
      <c r="J44" s="13">
        <f t="shared" si="19"/>
        <v>0.8333333333333334</v>
      </c>
      <c r="K44" s="13">
        <f t="shared" si="20"/>
        <v>0.9166666666666666</v>
      </c>
      <c r="L44" s="13">
        <v>1</v>
      </c>
      <c r="N44" s="4">
        <f t="shared" si="21"/>
        <v>-6</v>
      </c>
      <c r="O44" s="56">
        <f t="shared" si="22"/>
        <v>-0.09090909090909091</v>
      </c>
      <c r="P44" s="4">
        <f t="shared" si="23"/>
        <v>-6</v>
      </c>
      <c r="Q44" s="56">
        <f t="shared" si="24"/>
        <v>-0.08333333333333333</v>
      </c>
      <c r="AC44" s="24"/>
      <c r="AM44" s="19"/>
    </row>
    <row r="45" spans="1:39" ht="12.75">
      <c r="A45" s="19" t="s">
        <v>130</v>
      </c>
      <c r="B45" s="2">
        <v>12</v>
      </c>
      <c r="C45" s="2">
        <v>18</v>
      </c>
      <c r="D45" s="2">
        <v>12</v>
      </c>
      <c r="F45" s="56">
        <f>B45/B$40</f>
        <v>0.010256410256410256</v>
      </c>
      <c r="G45" s="56">
        <f>C45/C$40</f>
        <v>0.015789473684210527</v>
      </c>
      <c r="H45" s="56">
        <f t="shared" si="18"/>
        <v>0.009523809523809525</v>
      </c>
      <c r="J45" s="13">
        <f t="shared" si="19"/>
        <v>1</v>
      </c>
      <c r="K45" s="13">
        <f t="shared" si="20"/>
        <v>1.5</v>
      </c>
      <c r="L45" s="13">
        <v>1</v>
      </c>
      <c r="N45" s="4">
        <f t="shared" si="21"/>
        <v>-6</v>
      </c>
      <c r="O45" s="56">
        <f t="shared" si="22"/>
        <v>-0.3333333333333333</v>
      </c>
      <c r="P45" s="4">
        <f t="shared" si="23"/>
        <v>6</v>
      </c>
      <c r="Q45" s="56">
        <f t="shared" si="24"/>
        <v>0.5</v>
      </c>
      <c r="AC45" s="24"/>
      <c r="AM45" s="19"/>
    </row>
    <row r="46" spans="1:17" ht="12.75">
      <c r="A46" t="s">
        <v>116</v>
      </c>
      <c r="B46" s="9">
        <v>96</v>
      </c>
      <c r="C46" s="9">
        <v>108</v>
      </c>
      <c r="D46" s="9">
        <v>120</v>
      </c>
      <c r="F46" s="62">
        <f t="shared" si="17"/>
        <v>0.08205128205128205</v>
      </c>
      <c r="G46" s="62">
        <f t="shared" si="17"/>
        <v>0.09473684210526316</v>
      </c>
      <c r="H46" s="62">
        <f t="shared" si="18"/>
        <v>0.09523809523809523</v>
      </c>
      <c r="J46" s="14">
        <f t="shared" si="19"/>
        <v>0.8</v>
      </c>
      <c r="K46" s="14">
        <f t="shared" si="20"/>
        <v>0.9</v>
      </c>
      <c r="L46" s="14">
        <v>1</v>
      </c>
      <c r="N46" s="6">
        <f t="shared" si="21"/>
        <v>-12</v>
      </c>
      <c r="O46" s="62">
        <f t="shared" si="22"/>
        <v>-0.1111111111111111</v>
      </c>
      <c r="P46" s="6">
        <f t="shared" si="23"/>
        <v>-12</v>
      </c>
      <c r="Q46" s="62">
        <f t="shared" si="24"/>
        <v>-0.1</v>
      </c>
    </row>
    <row r="47" spans="1:32" ht="12.75">
      <c r="A47" t="s">
        <v>14</v>
      </c>
      <c r="B47" s="2">
        <f>SUM(B43:B46)</f>
        <v>390</v>
      </c>
      <c r="C47" s="2">
        <f>SUM(C43:C46)</f>
        <v>420</v>
      </c>
      <c r="D47" s="2">
        <f>SUM(D43:D46)</f>
        <v>444</v>
      </c>
      <c r="F47" s="56">
        <f t="shared" si="17"/>
        <v>0.3333333333333333</v>
      </c>
      <c r="G47" s="56">
        <f t="shared" si="17"/>
        <v>0.3684210526315789</v>
      </c>
      <c r="H47" s="56">
        <f t="shared" si="18"/>
        <v>0.3523809523809524</v>
      </c>
      <c r="J47" s="13">
        <f t="shared" si="19"/>
        <v>0.8783783783783784</v>
      </c>
      <c r="K47" s="13">
        <f t="shared" si="20"/>
        <v>0.9459459459459459</v>
      </c>
      <c r="L47" s="13">
        <v>1</v>
      </c>
      <c r="N47" s="4">
        <f t="shared" si="21"/>
        <v>-30</v>
      </c>
      <c r="O47" s="56">
        <f t="shared" si="22"/>
        <v>-0.07142857142857142</v>
      </c>
      <c r="P47" s="4">
        <f t="shared" si="23"/>
        <v>-24</v>
      </c>
      <c r="Q47" s="56">
        <f t="shared" si="24"/>
        <v>-0.05405405405405406</v>
      </c>
      <c r="AA47" s="1" t="s">
        <v>38</v>
      </c>
      <c r="AF47" s="38" t="s">
        <v>119</v>
      </c>
    </row>
    <row r="48" spans="1:32" ht="13.5" thickBot="1">
      <c r="A48" t="s">
        <v>15</v>
      </c>
      <c r="B48" s="10">
        <f>B40-B47</f>
        <v>780</v>
      </c>
      <c r="C48" s="10">
        <f>C40-C47</f>
        <v>720</v>
      </c>
      <c r="D48" s="10">
        <f>D40-D47</f>
        <v>816</v>
      </c>
      <c r="F48" s="65">
        <f t="shared" si="17"/>
        <v>0.6666666666666666</v>
      </c>
      <c r="G48" s="65">
        <f t="shared" si="17"/>
        <v>0.631578947368421</v>
      </c>
      <c r="H48" s="65">
        <f t="shared" si="18"/>
        <v>0.6476190476190476</v>
      </c>
      <c r="J48" s="16">
        <f t="shared" si="19"/>
        <v>0.9558823529411765</v>
      </c>
      <c r="K48" s="16">
        <f t="shared" si="20"/>
        <v>0.8823529411764706</v>
      </c>
      <c r="L48" s="16">
        <v>1</v>
      </c>
      <c r="N48" s="8">
        <f t="shared" si="21"/>
        <v>60</v>
      </c>
      <c r="O48" s="65">
        <f t="shared" si="22"/>
        <v>0.08333333333333333</v>
      </c>
      <c r="P48" s="8">
        <f t="shared" si="23"/>
        <v>-96</v>
      </c>
      <c r="Q48" s="65">
        <f t="shared" si="24"/>
        <v>-0.11764705882352941</v>
      </c>
      <c r="AF48" t="s">
        <v>80</v>
      </c>
    </row>
    <row r="49" spans="2:17" ht="13.5" thickTop="1">
      <c r="B49" s="2"/>
      <c r="C49" s="2"/>
      <c r="D49" s="2"/>
      <c r="F49" s="56"/>
      <c r="G49" s="56"/>
      <c r="H49" s="56"/>
      <c r="J49" s="13"/>
      <c r="K49" s="13"/>
      <c r="L49" s="13"/>
      <c r="N49" s="2"/>
      <c r="O49" s="12"/>
      <c r="P49" s="2"/>
      <c r="Q49" s="12"/>
    </row>
    <row r="50" spans="1:44" ht="12.75">
      <c r="A50" s="1" t="s">
        <v>118</v>
      </c>
      <c r="B50" s="2"/>
      <c r="C50" s="2"/>
      <c r="D50" s="2"/>
      <c r="F50" s="56"/>
      <c r="G50" s="56"/>
      <c r="H50" s="56"/>
      <c r="J50" s="13"/>
      <c r="K50" s="13"/>
      <c r="L50" s="13"/>
      <c r="N50" s="2"/>
      <c r="O50" s="12"/>
      <c r="P50" s="2"/>
      <c r="Q50" s="12"/>
      <c r="AA50" s="1">
        <f>B3</f>
        <v>2011</v>
      </c>
      <c r="AC50" s="53">
        <f>AF37/1000</f>
        <v>175</v>
      </c>
      <c r="AE50" s="24" t="s">
        <v>66</v>
      </c>
      <c r="AF50" s="56">
        <f>AC50/AC51</f>
        <v>0.7446808510638298</v>
      </c>
      <c r="AG50" s="1">
        <f>B2</f>
        <v>2010</v>
      </c>
      <c r="AI50" s="53">
        <f>AL37/1000</f>
        <v>310</v>
      </c>
      <c r="AK50" s="24" t="s">
        <v>66</v>
      </c>
      <c r="AL50" s="56">
        <f>AI50/AI51</f>
        <v>1.4485981308411215</v>
      </c>
      <c r="AM50" s="1">
        <f>B1</f>
        <v>2009</v>
      </c>
      <c r="AO50" s="53">
        <f>AR37/1000</f>
        <v>180</v>
      </c>
      <c r="AQ50" s="24" t="s">
        <v>66</v>
      </c>
      <c r="AR50" s="13">
        <f>AO50/AO51</f>
        <v>0.7377049180327869</v>
      </c>
    </row>
    <row r="51" spans="1:41" ht="12.75">
      <c r="A51" t="s">
        <v>24</v>
      </c>
      <c r="B51" s="2">
        <v>600</v>
      </c>
      <c r="C51" s="2">
        <v>600</v>
      </c>
      <c r="D51" s="2">
        <v>600</v>
      </c>
      <c r="F51" s="56">
        <f aca="true" t="shared" si="25" ref="F51:G53">B51/B$40</f>
        <v>0.5128205128205128</v>
      </c>
      <c r="G51" s="56">
        <f t="shared" si="25"/>
        <v>0.5263157894736842</v>
      </c>
      <c r="H51" s="56">
        <f>D51/D$40</f>
        <v>0.47619047619047616</v>
      </c>
      <c r="J51" s="13">
        <f>B51/D51</f>
        <v>1</v>
      </c>
      <c r="K51" s="13">
        <f>C51/D51</f>
        <v>1</v>
      </c>
      <c r="L51" s="13">
        <v>1</v>
      </c>
      <c r="N51" s="4">
        <f>B51-C51</f>
        <v>0</v>
      </c>
      <c r="O51" s="12">
        <f>N51/C51</f>
        <v>0</v>
      </c>
      <c r="P51" s="4">
        <f>C51-D51</f>
        <v>0</v>
      </c>
      <c r="Q51" s="12">
        <f>P51/D51</f>
        <v>0</v>
      </c>
      <c r="AC51" s="4">
        <f>B26</f>
        <v>235</v>
      </c>
      <c r="AI51" s="4">
        <f>C26</f>
        <v>214</v>
      </c>
      <c r="AO51" s="4">
        <f>D26</f>
        <v>244</v>
      </c>
    </row>
    <row r="52" spans="1:17" ht="12.75">
      <c r="A52" t="s">
        <v>16</v>
      </c>
      <c r="B52" s="2">
        <f>B48-B51</f>
        <v>180</v>
      </c>
      <c r="C52" s="2">
        <f>C48-C51</f>
        <v>120</v>
      </c>
      <c r="D52" s="2">
        <f>D48-D51</f>
        <v>216</v>
      </c>
      <c r="F52" s="56">
        <f t="shared" si="25"/>
        <v>0.15384615384615385</v>
      </c>
      <c r="G52" s="56">
        <f t="shared" si="25"/>
        <v>0.10526315789473684</v>
      </c>
      <c r="H52" s="56">
        <f>D52/D$40</f>
        <v>0.17142857142857143</v>
      </c>
      <c r="J52" s="13">
        <f>B52/D52</f>
        <v>0.8333333333333334</v>
      </c>
      <c r="K52" s="13">
        <f>C52/D52</f>
        <v>0.5555555555555556</v>
      </c>
      <c r="L52" s="13">
        <v>1</v>
      </c>
      <c r="N52" s="4">
        <f>B52-C52</f>
        <v>60</v>
      </c>
      <c r="O52" s="12">
        <f>N52/C52</f>
        <v>0.5</v>
      </c>
      <c r="P52" s="4">
        <f>C52-D52</f>
        <v>-96</v>
      </c>
      <c r="Q52" s="12">
        <f>P52/D52</f>
        <v>-0.4444444444444444</v>
      </c>
    </row>
    <row r="53" spans="2:27" ht="13.5" thickBot="1">
      <c r="B53" s="10">
        <f>SUM(B51:B52)</f>
        <v>780</v>
      </c>
      <c r="C53" s="10">
        <f>SUM(C51:C52)</f>
        <v>720</v>
      </c>
      <c r="D53" s="10">
        <f>SUM(D51:D52)</f>
        <v>816</v>
      </c>
      <c r="F53" s="65">
        <f t="shared" si="25"/>
        <v>0.6666666666666666</v>
      </c>
      <c r="G53" s="65">
        <f t="shared" si="25"/>
        <v>0.631578947368421</v>
      </c>
      <c r="H53" s="65">
        <f>D53/D$40</f>
        <v>0.6476190476190476</v>
      </c>
      <c r="J53" s="16">
        <f>B53/D53</f>
        <v>0.9558823529411765</v>
      </c>
      <c r="K53" s="16">
        <f>C53/D53</f>
        <v>0.8823529411764706</v>
      </c>
      <c r="L53" s="16">
        <v>1</v>
      </c>
      <c r="N53" s="8">
        <f>B53-C53</f>
        <v>60</v>
      </c>
      <c r="O53" s="17">
        <f>N53/C53</f>
        <v>0.08333333333333333</v>
      </c>
      <c r="P53" s="8">
        <f>C53-D53</f>
        <v>-96</v>
      </c>
      <c r="Q53" s="17">
        <f>P53/D53</f>
        <v>-0.11764705882352941</v>
      </c>
      <c r="AA53" s="30" t="s">
        <v>81</v>
      </c>
    </row>
    <row r="54" spans="7:32" ht="13.5" thickTop="1">
      <c r="G54" s="1"/>
      <c r="K54" s="1"/>
      <c r="O54" s="1"/>
      <c r="AA54" s="1" t="s">
        <v>82</v>
      </c>
      <c r="AE54" s="33" t="s">
        <v>83</v>
      </c>
      <c r="AF54" s="33"/>
    </row>
    <row r="55" ht="12.75">
      <c r="AE55" t="s">
        <v>84</v>
      </c>
    </row>
    <row r="57" spans="27:44" ht="12.75">
      <c r="AA57" s="1">
        <f>B3</f>
        <v>2011</v>
      </c>
      <c r="AC57" s="57">
        <f>B35+B36+B37</f>
        <v>410</v>
      </c>
      <c r="AE57" s="24" t="s">
        <v>66</v>
      </c>
      <c r="AF57" s="29">
        <f>AC57/AC58</f>
        <v>1.3945578231292517</v>
      </c>
      <c r="AG57" s="1">
        <f>B2</f>
        <v>2010</v>
      </c>
      <c r="AI57" s="57">
        <f>C35+C36+C37</f>
        <v>380</v>
      </c>
      <c r="AK57" s="24" t="s">
        <v>66</v>
      </c>
      <c r="AL57" s="29">
        <f>AI57/AI58</f>
        <v>1.2179487179487178</v>
      </c>
      <c r="AM57" s="1">
        <f>B1</f>
        <v>2009</v>
      </c>
      <c r="AO57" s="57">
        <f>D35+D36+D37</f>
        <v>500</v>
      </c>
      <c r="AQ57" s="24" t="s">
        <v>66</v>
      </c>
      <c r="AR57" s="29">
        <f>AO57/AO58</f>
        <v>1.5432098765432098</v>
      </c>
    </row>
    <row r="58" spans="29:41" ht="12.75">
      <c r="AC58" s="58">
        <f>B43+B44+B45</f>
        <v>294</v>
      </c>
      <c r="AI58" s="58">
        <f>C43+C44+C45</f>
        <v>312</v>
      </c>
      <c r="AO58" s="58">
        <f>D43+D44+D45</f>
        <v>324</v>
      </c>
    </row>
    <row r="60" spans="27:32" ht="12.75">
      <c r="AA60" s="1" t="s">
        <v>85</v>
      </c>
      <c r="AE60" s="33" t="s">
        <v>86</v>
      </c>
      <c r="AF60" s="33"/>
    </row>
    <row r="61" ht="12.75">
      <c r="AE61" t="s">
        <v>84</v>
      </c>
    </row>
    <row r="63" spans="27:44" ht="12.75">
      <c r="AA63" s="1">
        <f>B3</f>
        <v>2011</v>
      </c>
      <c r="AC63" s="57">
        <f>B35+B36</f>
        <v>264</v>
      </c>
      <c r="AE63" s="24" t="s">
        <v>66</v>
      </c>
      <c r="AF63" s="29">
        <f>AC63/AC64</f>
        <v>0.8979591836734694</v>
      </c>
      <c r="AG63" s="1">
        <f>B2</f>
        <v>2010</v>
      </c>
      <c r="AI63" s="57">
        <f>C35+C36</f>
        <v>240</v>
      </c>
      <c r="AK63" s="24" t="s">
        <v>66</v>
      </c>
      <c r="AL63" s="29">
        <f>AI63/AI64</f>
        <v>0.7692307692307693</v>
      </c>
      <c r="AM63" s="1">
        <f>B1</f>
        <v>2009</v>
      </c>
      <c r="AO63" s="57">
        <f>D35+D36</f>
        <v>330</v>
      </c>
      <c r="AQ63" s="24" t="s">
        <v>66</v>
      </c>
      <c r="AR63" s="29">
        <f>AO63/AO64</f>
        <v>1.0185185185185186</v>
      </c>
    </row>
    <row r="64" spans="29:41" ht="12.75">
      <c r="AC64" s="58">
        <f>B43+B44+B45</f>
        <v>294</v>
      </c>
      <c r="AI64" s="58">
        <f>C43+C44+C45</f>
        <v>312</v>
      </c>
      <c r="AO64" s="58">
        <f>D43+D44+D45</f>
        <v>324</v>
      </c>
    </row>
    <row r="66" spans="27:34" ht="12.75">
      <c r="AA66" s="1" t="s">
        <v>87</v>
      </c>
      <c r="AE66" s="73" t="s">
        <v>125</v>
      </c>
      <c r="AF66" s="74"/>
      <c r="AG66" s="74"/>
      <c r="AH66" s="19"/>
    </row>
    <row r="67" ht="12.75">
      <c r="AE67" t="s">
        <v>88</v>
      </c>
    </row>
    <row r="69" spans="27:44" ht="12.75">
      <c r="AA69" s="1">
        <f>B3</f>
        <v>2011</v>
      </c>
      <c r="AC69" s="57">
        <f>B15*0.2</f>
        <v>372</v>
      </c>
      <c r="AE69" s="24" t="s">
        <v>66</v>
      </c>
      <c r="AF69" s="29">
        <f>AC69/AC70</f>
        <v>5.166666666666667</v>
      </c>
      <c r="AG69" s="1">
        <f>B2</f>
        <v>2010</v>
      </c>
      <c r="AI69" s="57">
        <f>C15*0.2</f>
        <v>366</v>
      </c>
      <c r="AK69" s="24" t="s">
        <v>66</v>
      </c>
      <c r="AL69" s="29">
        <f>AI69/AI70</f>
        <v>4.518518518518518</v>
      </c>
      <c r="AM69" s="1">
        <f>B1</f>
        <v>2009</v>
      </c>
      <c r="AO69" s="57">
        <f>D15*0.2</f>
        <v>420</v>
      </c>
      <c r="AQ69" s="24" t="s">
        <v>66</v>
      </c>
      <c r="AR69" s="29">
        <f>AO69/AO70</f>
        <v>4.666666666666667</v>
      </c>
    </row>
    <row r="70" spans="29:42" ht="12.75">
      <c r="AC70" s="24">
        <f>(B36+C36)/2</f>
        <v>72</v>
      </c>
      <c r="AI70" s="24">
        <f>(C36+D36)/2</f>
        <v>81</v>
      </c>
      <c r="AO70" s="58">
        <f>D36</f>
        <v>90</v>
      </c>
      <c r="AP70" t="s">
        <v>89</v>
      </c>
    </row>
    <row r="72" spans="27:33" ht="12.75">
      <c r="AA72" s="1" t="s">
        <v>90</v>
      </c>
      <c r="AE72" s="74" t="s">
        <v>91</v>
      </c>
      <c r="AF72" s="74"/>
      <c r="AG72" s="35"/>
    </row>
    <row r="73" ht="12.75">
      <c r="AE73" t="s">
        <v>92</v>
      </c>
    </row>
    <row r="75" spans="27:44" ht="12.75">
      <c r="AA75" s="1">
        <f>B3</f>
        <v>2011</v>
      </c>
      <c r="AC75" s="59">
        <v>365</v>
      </c>
      <c r="AE75" s="24" t="s">
        <v>66</v>
      </c>
      <c r="AF75" s="71">
        <f>AC75/AC76</f>
        <v>70.64516129032258</v>
      </c>
      <c r="AG75" s="1">
        <f>B2</f>
        <v>2010</v>
      </c>
      <c r="AI75" s="59">
        <v>365</v>
      </c>
      <c r="AK75" s="24" t="s">
        <v>66</v>
      </c>
      <c r="AL75" s="28">
        <f>AI75/AI76</f>
        <v>80.77868852459017</v>
      </c>
      <c r="AM75" s="1">
        <f>B1</f>
        <v>2009</v>
      </c>
      <c r="AO75" s="59">
        <v>365</v>
      </c>
      <c r="AQ75" s="24" t="s">
        <v>66</v>
      </c>
      <c r="AR75" s="28">
        <f>AO75/AO76</f>
        <v>78.21428571428571</v>
      </c>
    </row>
    <row r="76" spans="29:41" ht="12.75">
      <c r="AC76" s="60">
        <f>AF69</f>
        <v>5.166666666666667</v>
      </c>
      <c r="AI76" s="60">
        <f>AL69</f>
        <v>4.518518518518518</v>
      </c>
      <c r="AO76" s="60">
        <f>AR69</f>
        <v>4.666666666666667</v>
      </c>
    </row>
    <row r="78" spans="27:33" ht="12.75">
      <c r="AA78" s="1" t="s">
        <v>93</v>
      </c>
      <c r="AE78" s="73" t="s">
        <v>120</v>
      </c>
      <c r="AF78" s="73"/>
      <c r="AG78" s="73"/>
    </row>
    <row r="79" ht="12.75">
      <c r="AE79" t="s">
        <v>94</v>
      </c>
    </row>
    <row r="81" spans="27:44" ht="12.75">
      <c r="AA81" s="1">
        <f>B3</f>
        <v>2011</v>
      </c>
      <c r="AC81" s="57">
        <f>B16</f>
        <v>1320</v>
      </c>
      <c r="AE81" s="24" t="s">
        <v>66</v>
      </c>
      <c r="AF81" s="29">
        <f>AC81/AC82</f>
        <v>9.23076923076923</v>
      </c>
      <c r="AG81" s="1">
        <f>B2</f>
        <v>2010</v>
      </c>
      <c r="AI81" s="57">
        <f>C16</f>
        <v>1320</v>
      </c>
      <c r="AK81" s="24" t="s">
        <v>66</v>
      </c>
      <c r="AL81" s="29">
        <f>AI81/AI82</f>
        <v>8.516129032258064</v>
      </c>
      <c r="AM81" s="1">
        <f>B1</f>
        <v>2009</v>
      </c>
      <c r="AO81" s="57">
        <f>D16</f>
        <v>1500</v>
      </c>
      <c r="AQ81" s="24" t="s">
        <v>66</v>
      </c>
      <c r="AR81" s="29">
        <f>AO81/AO82</f>
        <v>8.823529411764707</v>
      </c>
    </row>
    <row r="82" spans="29:42" ht="12.75">
      <c r="AC82" s="24">
        <f>(B37+C37)/2</f>
        <v>143</v>
      </c>
      <c r="AI82" s="24">
        <f>(C37+D37)/2</f>
        <v>155</v>
      </c>
      <c r="AO82" s="58">
        <f>D37</f>
        <v>170</v>
      </c>
      <c r="AP82" t="s">
        <v>89</v>
      </c>
    </row>
    <row r="84" spans="27:32" ht="12.75">
      <c r="AA84" s="1" t="s">
        <v>95</v>
      </c>
      <c r="AE84" s="33"/>
      <c r="AF84" s="33" t="s">
        <v>91</v>
      </c>
    </row>
    <row r="85" ht="12.75">
      <c r="AE85" t="s">
        <v>51</v>
      </c>
    </row>
    <row r="87" spans="27:44" ht="12.75">
      <c r="AA87" s="1">
        <f>B3</f>
        <v>2011</v>
      </c>
      <c r="AC87" s="34">
        <v>365</v>
      </c>
      <c r="AE87" s="24" t="s">
        <v>66</v>
      </c>
      <c r="AF87" s="28">
        <f>AC87/AC88</f>
        <v>39.54166666666667</v>
      </c>
      <c r="AG87" s="1">
        <f>B2</f>
        <v>2010</v>
      </c>
      <c r="AI87" s="34">
        <v>365</v>
      </c>
      <c r="AK87" s="24" t="s">
        <v>66</v>
      </c>
      <c r="AL87" s="28">
        <f>AI87/AI88</f>
        <v>42.859848484848484</v>
      </c>
      <c r="AM87" s="1">
        <f>B1</f>
        <v>2009</v>
      </c>
      <c r="AO87" s="34">
        <v>365</v>
      </c>
      <c r="AQ87" s="24" t="s">
        <v>66</v>
      </c>
      <c r="AR87" s="28">
        <f>AO87/AO88</f>
        <v>41.36666666666667</v>
      </c>
    </row>
    <row r="88" spans="29:41" ht="12.75">
      <c r="AC88" s="26">
        <f>AF81</f>
        <v>9.23076923076923</v>
      </c>
      <c r="AI88" s="60">
        <f>AL81</f>
        <v>8.516129032258064</v>
      </c>
      <c r="AO88" s="60">
        <f>AR81</f>
        <v>8.823529411764707</v>
      </c>
    </row>
    <row r="90" spans="27:31" ht="12.75">
      <c r="AA90" s="1" t="s">
        <v>96</v>
      </c>
      <c r="AE90" t="s">
        <v>97</v>
      </c>
    </row>
    <row r="92" spans="27:44" ht="12.75">
      <c r="AA92" s="1">
        <f>B3</f>
        <v>2011</v>
      </c>
      <c r="AB92" s="28">
        <f>AF75</f>
        <v>70.64516129032258</v>
      </c>
      <c r="AC92" s="24" t="s">
        <v>65</v>
      </c>
      <c r="AD92" s="28">
        <f>AF87</f>
        <v>39.54166666666667</v>
      </c>
      <c r="AE92" s="24" t="s">
        <v>66</v>
      </c>
      <c r="AF92" s="28">
        <f>AB92+AD92</f>
        <v>110.18682795698925</v>
      </c>
      <c r="AG92" s="1">
        <f>B2</f>
        <v>2010</v>
      </c>
      <c r="AH92" s="28">
        <f>AL75</f>
        <v>80.77868852459017</v>
      </c>
      <c r="AI92" s="24" t="s">
        <v>65</v>
      </c>
      <c r="AJ92" s="28">
        <f>AL87</f>
        <v>42.859848484848484</v>
      </c>
      <c r="AK92" s="24" t="s">
        <v>66</v>
      </c>
      <c r="AL92" s="28">
        <f>AH92+AJ92</f>
        <v>123.63853700943865</v>
      </c>
      <c r="AM92" s="1">
        <f>B1</f>
        <v>2009</v>
      </c>
      <c r="AN92" s="28">
        <f>AR75</f>
        <v>78.21428571428571</v>
      </c>
      <c r="AO92" s="24" t="s">
        <v>65</v>
      </c>
      <c r="AP92" s="28">
        <f>AR87</f>
        <v>41.36666666666667</v>
      </c>
      <c r="AQ92" s="24" t="s">
        <v>66</v>
      </c>
      <c r="AR92" s="28">
        <f>AN92+AP92</f>
        <v>119.58095238095237</v>
      </c>
    </row>
    <row r="93" ht="12.75">
      <c r="AF93" s="19" t="s">
        <v>121</v>
      </c>
    </row>
    <row r="95" ht="12.75">
      <c r="AA95" s="30" t="s">
        <v>98</v>
      </c>
    </row>
    <row r="96" ht="15.75">
      <c r="AA96" s="32"/>
    </row>
    <row r="99" spans="27:32" ht="12.75">
      <c r="AA99" s="1" t="s">
        <v>99</v>
      </c>
      <c r="AE99" s="38" t="s">
        <v>100</v>
      </c>
      <c r="AF99" s="38"/>
    </row>
    <row r="100" spans="31:32" ht="12.75">
      <c r="AE100" s="75" t="s">
        <v>101</v>
      </c>
      <c r="AF100" s="75"/>
    </row>
    <row r="102" spans="27:44" ht="12.75">
      <c r="AA102" s="1">
        <f>B3</f>
        <v>2011</v>
      </c>
      <c r="AC102" s="57">
        <f>B47</f>
        <v>390</v>
      </c>
      <c r="AE102" s="24" t="s">
        <v>66</v>
      </c>
      <c r="AF102" s="56">
        <f>AC102/AC103</f>
        <v>0.3333333333333333</v>
      </c>
      <c r="AG102" s="1">
        <f>B2</f>
        <v>2010</v>
      </c>
      <c r="AI102" s="57">
        <f>C47</f>
        <v>420</v>
      </c>
      <c r="AK102" s="24" t="s">
        <v>66</v>
      </c>
      <c r="AL102" s="56">
        <f>AI102/AI103</f>
        <v>0.3684210526315789</v>
      </c>
      <c r="AM102" s="1">
        <f>B1</f>
        <v>2009</v>
      </c>
      <c r="AO102" s="57">
        <f>D47</f>
        <v>444</v>
      </c>
      <c r="AQ102" s="24" t="s">
        <v>66</v>
      </c>
      <c r="AR102" s="56">
        <f>AO102/AO103</f>
        <v>0.3523809523809524</v>
      </c>
    </row>
    <row r="103" spans="29:41" ht="12.75">
      <c r="AC103" s="58">
        <f>B40</f>
        <v>1170</v>
      </c>
      <c r="AI103" s="58">
        <f>C40</f>
        <v>1140</v>
      </c>
      <c r="AO103" s="58">
        <f>D40</f>
        <v>1260</v>
      </c>
    </row>
    <row r="105" spans="27:33" ht="12.75">
      <c r="AA105" s="1" t="s">
        <v>102</v>
      </c>
      <c r="AE105" s="33" t="s">
        <v>103</v>
      </c>
      <c r="AF105" s="33"/>
      <c r="AG105" s="33"/>
    </row>
    <row r="106" ht="12.75">
      <c r="AF106" t="s">
        <v>101</v>
      </c>
    </row>
    <row r="108" spans="27:44" ht="12.75">
      <c r="AA108" s="1">
        <f>B3</f>
        <v>2011</v>
      </c>
      <c r="AC108" s="57">
        <f>B53</f>
        <v>780</v>
      </c>
      <c r="AE108" s="24" t="s">
        <v>66</v>
      </c>
      <c r="AF108" s="56">
        <f>AC108/AC109</f>
        <v>0.6666666666666666</v>
      </c>
      <c r="AG108" s="1">
        <f>B2</f>
        <v>2010</v>
      </c>
      <c r="AI108" s="57">
        <f>C53</f>
        <v>720</v>
      </c>
      <c r="AK108" s="24" t="s">
        <v>66</v>
      </c>
      <c r="AL108" s="56">
        <f>AI108/AI109</f>
        <v>0.631578947368421</v>
      </c>
      <c r="AM108" s="1">
        <f>B1</f>
        <v>2009</v>
      </c>
      <c r="AO108" s="57">
        <f>D53</f>
        <v>816</v>
      </c>
      <c r="AQ108" s="24" t="s">
        <v>66</v>
      </c>
      <c r="AR108" s="56">
        <f>AO108/AO109</f>
        <v>0.6476190476190476</v>
      </c>
    </row>
    <row r="109" spans="29:41" ht="12.75">
      <c r="AC109" s="58">
        <f>B40</f>
        <v>1170</v>
      </c>
      <c r="AI109" s="58">
        <f>C40</f>
        <v>1140</v>
      </c>
      <c r="AO109" s="58">
        <f>D40</f>
        <v>1260</v>
      </c>
    </row>
    <row r="111" spans="27:33" ht="12.75">
      <c r="AA111" s="1" t="s">
        <v>104</v>
      </c>
      <c r="AE111" s="33"/>
      <c r="AF111" s="33" t="s">
        <v>101</v>
      </c>
      <c r="AG111" s="33"/>
    </row>
    <row r="112" ht="12.75">
      <c r="AE112" t="s">
        <v>103</v>
      </c>
    </row>
    <row r="114" spans="27:44" ht="12.75">
      <c r="AA114" s="1">
        <f>B3</f>
        <v>2011</v>
      </c>
      <c r="AC114" s="57">
        <f>B40</f>
        <v>1170</v>
      </c>
      <c r="AE114" s="24" t="s">
        <v>66</v>
      </c>
      <c r="AF114" s="29">
        <f>AC114/AC115</f>
        <v>1.5</v>
      </c>
      <c r="AG114" s="1">
        <f>B2</f>
        <v>2010</v>
      </c>
      <c r="AI114" s="57">
        <f>C40</f>
        <v>1140</v>
      </c>
      <c r="AK114" s="24" t="s">
        <v>66</v>
      </c>
      <c r="AL114" s="29">
        <f>AI114/AI115</f>
        <v>1.5833333333333333</v>
      </c>
      <c r="AM114" s="1">
        <f>B1</f>
        <v>2009</v>
      </c>
      <c r="AO114" s="57">
        <f>D40</f>
        <v>1260</v>
      </c>
      <c r="AQ114" s="24" t="s">
        <v>66</v>
      </c>
      <c r="AR114" s="29">
        <f>AO114/AO115</f>
        <v>1.5441176470588236</v>
      </c>
    </row>
    <row r="115" spans="29:41" ht="12.75">
      <c r="AC115" s="58">
        <f>B53</f>
        <v>780</v>
      </c>
      <c r="AI115" s="58">
        <f>C53</f>
        <v>720</v>
      </c>
      <c r="AO115" s="58">
        <f>D53</f>
        <v>816</v>
      </c>
    </row>
    <row r="116" spans="27:32" ht="12.75">
      <c r="AA116" s="1" t="s">
        <v>105</v>
      </c>
      <c r="AE116" s="73" t="s">
        <v>122</v>
      </c>
      <c r="AF116" s="73"/>
    </row>
    <row r="117" ht="12.75">
      <c r="AE117" t="s">
        <v>106</v>
      </c>
    </row>
    <row r="119" spans="27:44" ht="12.75">
      <c r="AA119" s="1">
        <f>B3</f>
        <v>2011</v>
      </c>
      <c r="AC119" s="57">
        <f>B15+B18</f>
        <v>1860</v>
      </c>
      <c r="AE119" s="24" t="s">
        <v>66</v>
      </c>
      <c r="AF119" s="29">
        <f>AC119/AC120</f>
        <v>1.6103896103896105</v>
      </c>
      <c r="AG119" s="1">
        <f>B2</f>
        <v>2010</v>
      </c>
      <c r="AI119" s="57">
        <f>C15+C18</f>
        <v>1830</v>
      </c>
      <c r="AK119" s="24" t="s">
        <v>66</v>
      </c>
      <c r="AL119" s="29">
        <f>AI119/AI120</f>
        <v>1.525</v>
      </c>
      <c r="AM119" s="1">
        <f>B1</f>
        <v>2009</v>
      </c>
      <c r="AO119" s="57">
        <f>D15+D18</f>
        <v>2100</v>
      </c>
      <c r="AQ119" s="24" t="s">
        <v>66</v>
      </c>
      <c r="AR119" s="29">
        <f>AO119/AO120</f>
        <v>1.6666666666666667</v>
      </c>
    </row>
    <row r="120" spans="29:42" ht="12.75">
      <c r="AC120" s="24">
        <f>(B40+C40)/2</f>
        <v>1155</v>
      </c>
      <c r="AI120" s="24">
        <f>(C40+D40)/2</f>
        <v>1200</v>
      </c>
      <c r="AO120" s="58">
        <f>D40</f>
        <v>1260</v>
      </c>
      <c r="AP120" t="s">
        <v>89</v>
      </c>
    </row>
    <row r="121" ht="12.75">
      <c r="AO121" s="2"/>
    </row>
    <row r="122" spans="27:32" ht="12.75">
      <c r="AA122" s="1" t="s">
        <v>107</v>
      </c>
      <c r="AE122" s="33"/>
      <c r="AF122" s="33" t="s">
        <v>108</v>
      </c>
    </row>
    <row r="123" ht="12.75">
      <c r="AE123" t="s">
        <v>109</v>
      </c>
    </row>
    <row r="125" spans="27:44" ht="12.75">
      <c r="AA125" s="1">
        <f>B3</f>
        <v>2011</v>
      </c>
      <c r="AB125" s="6">
        <f>B24</f>
        <v>336</v>
      </c>
      <c r="AC125" s="34" t="s">
        <v>65</v>
      </c>
      <c r="AD125" s="6">
        <f>B22</f>
        <v>36</v>
      </c>
      <c r="AE125" s="24" t="s">
        <v>66</v>
      </c>
      <c r="AF125" s="70">
        <f>(AB125+AD125)/AC126</f>
        <v>10.333333333333334</v>
      </c>
      <c r="AG125" s="1">
        <f>B2</f>
        <v>2010</v>
      </c>
      <c r="AH125" s="6">
        <f>C24</f>
        <v>306</v>
      </c>
      <c r="AI125" s="34" t="s">
        <v>65</v>
      </c>
      <c r="AJ125" s="6">
        <f>C22</f>
        <v>36</v>
      </c>
      <c r="AK125" s="24" t="s">
        <v>66</v>
      </c>
      <c r="AL125" s="29">
        <f>(AH125+AJ125)/AI126</f>
        <v>9.5</v>
      </c>
      <c r="AM125" s="1">
        <f>B1</f>
        <v>2009</v>
      </c>
      <c r="AN125" s="6">
        <f>D24</f>
        <v>348</v>
      </c>
      <c r="AO125" s="34" t="s">
        <v>65</v>
      </c>
      <c r="AP125" s="6">
        <f>D22</f>
        <v>42</v>
      </c>
      <c r="AQ125" s="24" t="s">
        <v>66</v>
      </c>
      <c r="AR125" s="29">
        <f>(AN125+AP125)/AO126</f>
        <v>9.285714285714286</v>
      </c>
    </row>
    <row r="126" spans="29:41" ht="12.75">
      <c r="AC126" s="4">
        <f>B22</f>
        <v>36</v>
      </c>
      <c r="AI126" s="4">
        <f>C22</f>
        <v>36</v>
      </c>
      <c r="AO126" s="4">
        <f>D22</f>
        <v>42</v>
      </c>
    </row>
    <row r="128" spans="27:34" ht="12.75">
      <c r="AA128" t="s">
        <v>110</v>
      </c>
      <c r="AD128">
        <f>B1</f>
        <v>2009</v>
      </c>
      <c r="AE128" t="s">
        <v>111</v>
      </c>
      <c r="AG128">
        <f>B1</f>
        <v>2009</v>
      </c>
      <c r="AH128" t="s">
        <v>112</v>
      </c>
    </row>
    <row r="129" ht="12.75">
      <c r="AA129" s="1"/>
    </row>
  </sheetData>
  <sheetProtection/>
  <mergeCells count="12">
    <mergeCell ref="N12:Q12"/>
    <mergeCell ref="N31:Q31"/>
    <mergeCell ref="F13:H13"/>
    <mergeCell ref="F32:H32"/>
    <mergeCell ref="J13:L13"/>
    <mergeCell ref="J32:L32"/>
    <mergeCell ref="AE66:AG66"/>
    <mergeCell ref="AE72:AF72"/>
    <mergeCell ref="AE78:AG78"/>
    <mergeCell ref="AE100:AF100"/>
    <mergeCell ref="AE116:AF116"/>
    <mergeCell ref="Z26:Z28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65" r:id="rId1"/>
  <headerFooter alignWithMargins="0">
    <oddHeader>&amp;C&amp;F</oddHeader>
    <oddFooter>&amp;CPage &amp;P</oddFoot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Medlin</dc:creator>
  <cp:keywords/>
  <dc:description/>
  <cp:lastModifiedBy>Cindy</cp:lastModifiedBy>
  <cp:lastPrinted>2011-09-12T05:34:07Z</cp:lastPrinted>
  <dcterms:created xsi:type="dcterms:W3CDTF">1999-05-04T01:33:08Z</dcterms:created>
  <dcterms:modified xsi:type="dcterms:W3CDTF">2011-09-27T10:39:14Z</dcterms:modified>
  <cp:category/>
  <cp:version/>
  <cp:contentType/>
  <cp:contentStatus/>
</cp:coreProperties>
</file>